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6 Z RAPORLARI\"/>
    </mc:Choice>
  </mc:AlternateContent>
  <bookViews>
    <workbookView xWindow="0" yWindow="0" windowWidth="23040" windowHeight="9084" activeTab="1"/>
  </bookViews>
  <sheets>
    <sheet name="OCAK" sheetId="1" r:id="rId1"/>
    <sheet name="ŞUB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2" l="1"/>
  <c r="O10" i="2"/>
  <c r="N10" i="2"/>
  <c r="E10" i="2"/>
  <c r="B10" i="2"/>
  <c r="J40" i="1" l="1"/>
  <c r="P9" i="2" l="1"/>
  <c r="O9" i="2"/>
  <c r="N9" i="2"/>
  <c r="E9" i="2"/>
  <c r="B9" i="2"/>
  <c r="R8" i="2"/>
  <c r="P8" i="2"/>
  <c r="O8" i="2"/>
  <c r="N8" i="2"/>
  <c r="E8" i="2"/>
  <c r="B8" i="2"/>
  <c r="P7" i="2"/>
  <c r="O7" i="2"/>
  <c r="N7" i="2"/>
  <c r="E7" i="2"/>
  <c r="B7" i="2"/>
  <c r="P6" i="2" l="1"/>
  <c r="O6" i="2"/>
  <c r="N6" i="2"/>
  <c r="E6" i="2"/>
  <c r="B6" i="2"/>
  <c r="R5" i="2" l="1"/>
  <c r="O5" i="2"/>
  <c r="N5" i="2"/>
  <c r="E5" i="2"/>
  <c r="B5" i="2"/>
  <c r="O4" i="2"/>
  <c r="N4" i="2"/>
  <c r="E4" i="2"/>
  <c r="B4" i="2"/>
  <c r="D40" i="1" l="1"/>
  <c r="C38" i="1"/>
  <c r="B38" i="1"/>
  <c r="D37" i="1"/>
  <c r="D36" i="1"/>
  <c r="H35" i="1"/>
  <c r="C35" i="1"/>
  <c r="C39" i="1" s="1"/>
  <c r="B35" i="1"/>
  <c r="I34" i="1"/>
  <c r="K34" i="1" s="1"/>
  <c r="D34" i="1"/>
  <c r="I33" i="1"/>
  <c r="K33" i="1" s="1"/>
  <c r="D33" i="1"/>
  <c r="I35" i="1" l="1"/>
  <c r="J35" i="1" s="1"/>
  <c r="D38" i="1"/>
  <c r="D35" i="1"/>
  <c r="B39" i="1"/>
  <c r="D39" i="1" l="1"/>
  <c r="E3" i="2" l="1"/>
  <c r="E29" i="2" s="1"/>
  <c r="R3" i="2"/>
  <c r="R29" i="2" s="1"/>
  <c r="P3" i="2"/>
  <c r="O3" i="2"/>
  <c r="O29" i="2" s="1"/>
  <c r="N3" i="2"/>
  <c r="B3" i="2"/>
  <c r="C3" i="2" s="1"/>
  <c r="D3" i="2" s="1"/>
  <c r="Q29" i="2"/>
  <c r="L28" i="2"/>
  <c r="M28" i="2" s="1"/>
  <c r="I28" i="2"/>
  <c r="J28" i="2" s="1"/>
  <c r="F28" i="2"/>
  <c r="G28" i="2" s="1"/>
  <c r="C28" i="2"/>
  <c r="D28" i="2" s="1"/>
  <c r="L27" i="2"/>
  <c r="M27" i="2" s="1"/>
  <c r="I27" i="2"/>
  <c r="J27" i="2" s="1"/>
  <c r="F27" i="2"/>
  <c r="G27" i="2" s="1"/>
  <c r="C27" i="2"/>
  <c r="D27" i="2" s="1"/>
  <c r="L26" i="2"/>
  <c r="M26" i="2" s="1"/>
  <c r="J26" i="2"/>
  <c r="I26" i="2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L18" i="2"/>
  <c r="M18" i="2" s="1"/>
  <c r="I18" i="2"/>
  <c r="J18" i="2" s="1"/>
  <c r="F18" i="2"/>
  <c r="G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H29" i="2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N29" i="2"/>
  <c r="L5" i="2"/>
  <c r="M5" i="2" s="1"/>
  <c r="I5" i="2"/>
  <c r="J5" i="2" s="1"/>
  <c r="F5" i="2"/>
  <c r="G5" i="2" s="1"/>
  <c r="C5" i="2"/>
  <c r="D5" i="2" s="1"/>
  <c r="K29" i="2"/>
  <c r="I4" i="2"/>
  <c r="J4" i="2" s="1"/>
  <c r="F4" i="2"/>
  <c r="G4" i="2" s="1"/>
  <c r="C4" i="2"/>
  <c r="D4" i="2" s="1"/>
  <c r="P29" i="2"/>
  <c r="L3" i="2"/>
  <c r="M3" i="2" s="1"/>
  <c r="I3" i="2"/>
  <c r="J3" i="2" s="1"/>
  <c r="P29" i="1"/>
  <c r="O29" i="1"/>
  <c r="N29" i="1"/>
  <c r="E29" i="1"/>
  <c r="B29" i="1"/>
  <c r="O28" i="1"/>
  <c r="N28" i="1"/>
  <c r="E28" i="1"/>
  <c r="B28" i="1"/>
  <c r="B29" i="2" l="1"/>
  <c r="F3" i="2"/>
  <c r="G3" i="2" s="1"/>
  <c r="C18" i="2"/>
  <c r="D18" i="2" s="1"/>
  <c r="I12" i="2"/>
  <c r="J12" i="2" s="1"/>
  <c r="L4" i="2"/>
  <c r="M4" i="2" s="1"/>
  <c r="O27" i="1"/>
  <c r="N27" i="1"/>
  <c r="E27" i="1"/>
  <c r="B27" i="1"/>
  <c r="R26" i="1" l="1"/>
  <c r="P26" i="1"/>
  <c r="O26" i="1"/>
  <c r="N26" i="1"/>
  <c r="E26" i="1"/>
  <c r="B26" i="1"/>
  <c r="O25" i="1" l="1"/>
  <c r="N25" i="1"/>
  <c r="E25" i="1"/>
  <c r="B25" i="1"/>
  <c r="P24" i="1" l="1"/>
  <c r="O24" i="1"/>
  <c r="N24" i="1"/>
  <c r="H24" i="1"/>
  <c r="E24" i="1"/>
  <c r="B24" i="1"/>
  <c r="O23" i="1"/>
  <c r="N23" i="1"/>
  <c r="E23" i="1"/>
  <c r="B23" i="1"/>
  <c r="O22" i="1"/>
  <c r="N22" i="1"/>
  <c r="E22" i="1"/>
  <c r="B22" i="1"/>
  <c r="O21" i="1"/>
  <c r="N21" i="1"/>
  <c r="E21" i="1"/>
  <c r="B21" i="1"/>
  <c r="P20" i="1" l="1"/>
  <c r="O20" i="1"/>
  <c r="N20" i="1"/>
  <c r="E20" i="1"/>
  <c r="B20" i="1"/>
  <c r="O19" i="1"/>
  <c r="N19" i="1"/>
  <c r="E19" i="1"/>
  <c r="B19" i="1"/>
  <c r="P18" i="1" l="1"/>
  <c r="O18" i="1"/>
  <c r="N18" i="1"/>
  <c r="H18" i="1"/>
  <c r="E18" i="1"/>
  <c r="B18" i="1"/>
  <c r="P17" i="1"/>
  <c r="O17" i="1"/>
  <c r="N17" i="1"/>
  <c r="E17" i="1"/>
  <c r="B17" i="1"/>
  <c r="O16" i="1"/>
  <c r="N16" i="1"/>
  <c r="E16" i="1"/>
  <c r="B16" i="1"/>
  <c r="O15" i="1" l="1"/>
  <c r="N15" i="1"/>
  <c r="E15" i="1"/>
  <c r="B15" i="1"/>
  <c r="P14" i="1"/>
  <c r="O14" i="1"/>
  <c r="N14" i="1"/>
  <c r="E14" i="1"/>
  <c r="B14" i="1"/>
  <c r="P13" i="1"/>
  <c r="O13" i="1"/>
  <c r="N13" i="1"/>
  <c r="E13" i="1"/>
  <c r="B13" i="1"/>
  <c r="R10" i="1" l="1"/>
  <c r="O10" i="1"/>
  <c r="E10" i="1"/>
  <c r="B10" i="1"/>
  <c r="P12" i="1"/>
  <c r="O12" i="1"/>
  <c r="N12" i="1"/>
  <c r="H12" i="1"/>
  <c r="E12" i="1"/>
  <c r="B12" i="1"/>
  <c r="R11" i="1"/>
  <c r="P11" i="1"/>
  <c r="O11" i="1"/>
  <c r="N11" i="1"/>
  <c r="E11" i="1"/>
  <c r="B11" i="1"/>
  <c r="P10" i="1"/>
  <c r="N10" i="1"/>
  <c r="O9" i="1"/>
  <c r="N9" i="1"/>
  <c r="E9" i="1"/>
  <c r="B9" i="1"/>
  <c r="O8" i="1" l="1"/>
  <c r="N8" i="1"/>
  <c r="E8" i="1"/>
  <c r="B8" i="1"/>
  <c r="O7" i="1" l="1"/>
  <c r="B7" i="1"/>
  <c r="O6" i="1"/>
  <c r="P6" i="1"/>
  <c r="N6" i="1"/>
  <c r="K6" i="1"/>
  <c r="E6" i="1"/>
  <c r="B6" i="1"/>
  <c r="O5" i="1"/>
  <c r="P5" i="1"/>
  <c r="N5" i="1"/>
  <c r="K5" i="1"/>
  <c r="E5" i="1"/>
  <c r="B5" i="1"/>
  <c r="R4" i="1" l="1"/>
  <c r="P4" i="1"/>
  <c r="O4" i="1"/>
  <c r="N4" i="1"/>
  <c r="K4" i="1"/>
  <c r="E4" i="1"/>
  <c r="B4" i="1"/>
  <c r="U3" i="1"/>
  <c r="P3" i="1" l="1"/>
  <c r="O3" i="1"/>
  <c r="E3" i="1"/>
  <c r="B3" i="1"/>
  <c r="Q30" i="1" l="1"/>
  <c r="P30" i="1"/>
  <c r="R30" i="1" l="1"/>
  <c r="J37" i="1" s="1"/>
  <c r="F40" i="1" l="1"/>
  <c r="G40" i="1" s="1"/>
  <c r="N30" i="1"/>
  <c r="F36" i="1" s="1"/>
  <c r="G36" i="1" s="1"/>
  <c r="O30" i="1" l="1"/>
  <c r="F37" i="1" s="1"/>
  <c r="K30" i="1"/>
  <c r="H30" i="1"/>
  <c r="F34" i="1" s="1"/>
  <c r="G34" i="1" s="1"/>
  <c r="E30" i="1"/>
  <c r="B30" i="1"/>
  <c r="F33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 s="1"/>
  <c r="L28" i="1"/>
  <c r="M28" i="1" s="1"/>
  <c r="C29" i="1"/>
  <c r="D29" i="1" s="1"/>
  <c r="F29" i="1"/>
  <c r="G29" i="1" s="1"/>
  <c r="I29" i="1"/>
  <c r="J29" i="1" s="1"/>
  <c r="L29" i="1"/>
  <c r="M29" i="1" s="1"/>
  <c r="G33" i="1" l="1"/>
  <c r="F35" i="1"/>
  <c r="F38" i="1"/>
  <c r="G38" i="1" s="1"/>
  <c r="G37" i="1"/>
  <c r="L25" i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  <c r="J36" i="1" l="1"/>
  <c r="J38" i="1" s="1"/>
  <c r="J41" i="1" s="1"/>
  <c r="G35" i="1"/>
</calcChain>
</file>

<file path=xl/comments1.xml><?xml version="1.0" encoding="utf-8"?>
<comments xmlns="http://schemas.openxmlformats.org/spreadsheetml/2006/main">
  <authors>
    <author>User</author>
  </authors>
  <commentList>
    <comment ref="P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7500 FAST</t>
        </r>
      </text>
    </comment>
    <comment ref="P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5000 fast
</t>
        </r>
      </text>
    </comment>
    <comment ref="P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1125 FAST
</t>
        </r>
      </text>
    </comment>
    <comment ref="P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1415 FAST</t>
        </r>
      </text>
    </comment>
    <comment ref="P1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2500 FAST
</t>
        </r>
      </text>
    </comment>
    <comment ref="P1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5315 FAST
</t>
        </r>
      </text>
    </comment>
  </commentList>
</comments>
</file>

<file path=xl/sharedStrings.xml><?xml version="1.0" encoding="utf-8"?>
<sst xmlns="http://schemas.openxmlformats.org/spreadsheetml/2006/main" count="44" uniqueCount="29">
  <si>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</si>
  <si>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</si>
  <si>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</si>
  <si>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</si>
  <si>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</si>
  <si>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</si>
  <si>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</si>
  <si>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</si>
  <si>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</si>
  <si>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</si>
  <si>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</si>
  <si>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</si>
  <si>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175 fazla nakit fiş</t>
  </si>
  <si>
    <t>175 EKSİK KREDİ KARTI</t>
  </si>
  <si>
    <t>4050 İPTAL FİŞİ VAR</t>
  </si>
  <si>
    <t>nevin</t>
  </si>
  <si>
    <t>fark</t>
  </si>
  <si>
    <t>mizan</t>
  </si>
  <si>
    <t>kdv</t>
  </si>
  <si>
    <t>TOPLAM</t>
  </si>
  <si>
    <t>kdv dahil satış</t>
  </si>
  <si>
    <t>NKT</t>
  </si>
  <si>
    <t>ökcli satış</t>
  </si>
  <si>
    <t>KK</t>
  </si>
  <si>
    <t>faturalı satış</t>
  </si>
  <si>
    <t>ÖDEME FARK</t>
  </si>
  <si>
    <t>cari satış</t>
  </si>
  <si>
    <t>FT</t>
  </si>
  <si>
    <t>ÇAĞ ÇEVRE FATURASI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</si>
</sst>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1" fillId="0" borderId="1" xfId="0" applyFont="1" applyFill="1" applyBorder="1" applyAlignment="1">
      <alignment horizontal="center"/>
    </xf>
    <xf numFmtId="4" fontId="0" fillId="0" borderId="0" xfId="0" applyNumberFormat="1"/>
    <xf numFmtId="9" fontId="0" fillId="0" borderId="0" xfId="0" applyNumberFormat="1" applyAlignment="1">
      <alignment horizontal="center"/>
    </xf>
    <xf numFmtId="4" fontId="0" fillId="3" borderId="0" xfId="0" applyNumberFormat="1" applyFill="1"/>
    <xf numFmtId="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center"/>
    </xf>
    <xf numFmtId="9" fontId="1" fillId="3" borderId="0" xfId="0" applyNumberFormat="1" applyFont="1" applyFill="1" applyAlignment="1">
      <alignment horizontal="left"/>
    </xf>
    <xf numFmtId="4" fontId="1" fillId="3" borderId="0" xfId="0" applyNumberFormat="1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topLeftCell="A19" workbookViewId="0">
      <selection activeCell="J42" sqref="J42"/>
    </sheetView>
  </sheetViews>
  <sheetFormatPr defaultRowHeight="14.4" x14ac:dyDescent="0.3"/>
  <cols>
    <col min="1" max="1" width="10.109375" style="9" bestFit="1" customWidth="1"/>
    <col min="2" max="2" width="11.5546875" style="3" bestFit="1" customWidth="1"/>
    <col min="3" max="4" width="11.5546875" style="3" customWidth="1"/>
    <col min="5" max="5" width="11.33203125" style="3" customWidth="1"/>
    <col min="6" max="6" width="11.6640625" style="3" bestFit="1" customWidth="1"/>
    <col min="7" max="7" width="11.33203125" style="3" customWidth="1"/>
    <col min="8" max="8" width="11.5546875" style="3" bestFit="1" customWidth="1"/>
    <col min="9" max="9" width="10" style="3" bestFit="1" customWidth="1"/>
    <col min="10" max="10" width="11.5546875" style="3" bestFit="1" customWidth="1"/>
    <col min="11" max="13" width="8.88671875" style="3"/>
    <col min="14" max="14" width="10.109375" style="3" bestFit="1" customWidth="1"/>
    <col min="15" max="15" width="11.6640625" style="3" bestFit="1" customWidth="1"/>
    <col min="16" max="16" width="10.109375" style="3" customWidth="1"/>
    <col min="17" max="17" width="12.88671875" style="3" customWidth="1"/>
    <col min="18" max="18" width="11.44140625" style="3" bestFit="1" customWidth="1"/>
    <col min="19" max="19" width="24.5546875" style="9" bestFit="1" customWidth="1"/>
    <col min="20" max="20" width="30.44140625" style="9" hidden="1" customWidth="1"/>
    <col min="21" max="21" width="30.44140625" style="3" hidden="1" customWidth="1"/>
    <col min="22" max="22" width="8.88671875" style="3"/>
    <col min="23" max="23" width="8.88671875" style="3" customWidth="1"/>
    <col min="24" max="16384" width="8.88671875" style="3"/>
  </cols>
  <sheetData>
    <row r="1" spans="1:32" x14ac:dyDescent="0.3">
      <c r="A1" s="13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N1" s="2" t="s">
        <v>5</v>
      </c>
      <c r="O1" s="2" t="s">
        <v>6</v>
      </c>
      <c r="P1" s="2" t="s">
        <v>7</v>
      </c>
      <c r="Q1" s="26" t="s">
        <v>8</v>
      </c>
      <c r="R1" s="26"/>
      <c r="S1" s="13" t="s">
        <v>9</v>
      </c>
      <c r="T1" s="13" t="s">
        <v>10</v>
      </c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x14ac:dyDescent="0.3">
      <c r="A2" s="4"/>
      <c r="B2" s="5">
        <v>0.1</v>
      </c>
      <c r="C2" s="5"/>
      <c r="D2" s="5"/>
      <c r="E2" s="5">
        <v>0.1</v>
      </c>
      <c r="F2" s="5"/>
      <c r="G2" s="5"/>
      <c r="H2" s="5">
        <v>0.2</v>
      </c>
      <c r="I2" s="5"/>
      <c r="J2" s="5"/>
      <c r="K2" s="5">
        <v>0.2</v>
      </c>
      <c r="L2" s="5"/>
      <c r="M2" s="5"/>
      <c r="N2" s="13"/>
      <c r="O2" s="13"/>
      <c r="P2" s="13"/>
      <c r="Q2" s="13" t="s">
        <v>5</v>
      </c>
      <c r="R2" s="13" t="s">
        <v>11</v>
      </c>
      <c r="S2" s="6"/>
      <c r="T2" s="6"/>
    </row>
    <row r="3" spans="1:32" x14ac:dyDescent="0.3">
      <c r="A3" s="4">
        <v>46023</v>
      </c>
      <c r="B3" s="1">
        <f>84605+84365</f>
        <v>168970</v>
      </c>
      <c r="C3" s="7">
        <f>B3/1.1</f>
        <v>153609.09090909088</v>
      </c>
      <c r="D3" s="7">
        <f>C3*10/100</f>
        <v>15360.909090909086</v>
      </c>
      <c r="E3" s="1">
        <f>5700+4845</f>
        <v>10545</v>
      </c>
      <c r="F3" s="7">
        <f>E3/1.1</f>
        <v>9586.363636363636</v>
      </c>
      <c r="G3" s="7">
        <f>F3*10/100</f>
        <v>958.63636363636351</v>
      </c>
      <c r="H3" s="7">
        <v>0</v>
      </c>
      <c r="I3" s="7">
        <f>H3/1.2</f>
        <v>0</v>
      </c>
      <c r="J3" s="7">
        <f>I3*20/100</f>
        <v>0</v>
      </c>
      <c r="K3" s="7">
        <v>0</v>
      </c>
      <c r="L3" s="7">
        <f>K3/1.2</f>
        <v>0</v>
      </c>
      <c r="M3" s="7">
        <f>L3*20/100</f>
        <v>0</v>
      </c>
      <c r="N3" s="1">
        <v>7705</v>
      </c>
      <c r="O3" s="1">
        <f>82600-6245+89210-2958-7500</f>
        <v>155107</v>
      </c>
      <c r="P3" s="1">
        <f>6245+2958+7500</f>
        <v>16703</v>
      </c>
      <c r="Q3" s="7">
        <v>0</v>
      </c>
      <c r="R3" s="1">
        <v>22780</v>
      </c>
      <c r="S3" s="6"/>
      <c r="T3" s="6" t="s">
        <v>12</v>
      </c>
      <c r="U3" s="3">
        <f>60625-3720-2465</f>
        <v>54440</v>
      </c>
    </row>
    <row r="4" spans="1:32" x14ac:dyDescent="0.3">
      <c r="A4" s="4">
        <v>46024</v>
      </c>
      <c r="B4" s="1">
        <f>54440+40415</f>
        <v>94855</v>
      </c>
      <c r="C4" s="7">
        <f t="shared" ref="C4:C25" si="0">B4/1.1</f>
        <v>86231.818181818177</v>
      </c>
      <c r="D4" s="7">
        <f t="shared" ref="D4:D25" si="1">C4*10/100</f>
        <v>8623.181818181818</v>
      </c>
      <c r="E4" s="1">
        <f>1315+2465</f>
        <v>3780</v>
      </c>
      <c r="F4" s="7">
        <f t="shared" ref="F4:F25" si="2">E4/1.1</f>
        <v>3436.363636363636</v>
      </c>
      <c r="G4" s="7">
        <f t="shared" ref="G4:G25" si="3">F4*10/100</f>
        <v>343.63636363636363</v>
      </c>
      <c r="H4" s="7">
        <v>0</v>
      </c>
      <c r="I4" s="7">
        <f t="shared" ref="I4:I25" si="4">H4/1.2</f>
        <v>0</v>
      </c>
      <c r="J4" s="7">
        <f t="shared" ref="J4:J25" si="5">I4*20/100</f>
        <v>0</v>
      </c>
      <c r="K4" s="1">
        <f>480+3720</f>
        <v>4200</v>
      </c>
      <c r="L4" s="7">
        <f t="shared" ref="L4:L25" si="6">K4/1.2</f>
        <v>3500</v>
      </c>
      <c r="M4" s="7">
        <f t="shared" ref="M4:M25" si="7">L4*20/100</f>
        <v>700</v>
      </c>
      <c r="N4" s="7">
        <f>0</f>
        <v>0</v>
      </c>
      <c r="O4" s="1">
        <f>42210-3750-5000+60625</f>
        <v>94085</v>
      </c>
      <c r="P4" s="1">
        <f>5000+3750</f>
        <v>8750</v>
      </c>
      <c r="Q4" s="7">
        <v>0</v>
      </c>
      <c r="R4" s="7">
        <f>12280+20005</f>
        <v>32285</v>
      </c>
      <c r="S4" s="6"/>
      <c r="T4" s="6"/>
    </row>
    <row r="5" spans="1:32" x14ac:dyDescent="0.3">
      <c r="A5" s="4">
        <v>46025</v>
      </c>
      <c r="B5" s="1">
        <f>129015+107165</f>
        <v>236180</v>
      </c>
      <c r="C5" s="7">
        <f t="shared" si="0"/>
        <v>214709.09090909088</v>
      </c>
      <c r="D5" s="7">
        <f t="shared" si="1"/>
        <v>21470.909090909088</v>
      </c>
      <c r="E5" s="1">
        <f>6560+6890</f>
        <v>13450</v>
      </c>
      <c r="F5" s="7">
        <f t="shared" si="2"/>
        <v>12227.272727272726</v>
      </c>
      <c r="G5" s="7">
        <f t="shared" si="3"/>
        <v>1222.7272727272727</v>
      </c>
      <c r="H5" s="1">
        <v>500</v>
      </c>
      <c r="I5" s="7">
        <f t="shared" si="4"/>
        <v>416.66666666666669</v>
      </c>
      <c r="J5" s="7">
        <f t="shared" si="5"/>
        <v>83.333333333333343</v>
      </c>
      <c r="K5" s="1">
        <f>4440+3960</f>
        <v>8400</v>
      </c>
      <c r="L5" s="7">
        <f t="shared" si="6"/>
        <v>7000</v>
      </c>
      <c r="M5" s="7">
        <f t="shared" si="7"/>
        <v>1400</v>
      </c>
      <c r="N5" s="1">
        <f>5000+250</f>
        <v>5250</v>
      </c>
      <c r="O5" s="1">
        <f>135015-5285-1125+118265-8665</f>
        <v>238205</v>
      </c>
      <c r="P5" s="1">
        <f>1125+5285+8665</f>
        <v>15075</v>
      </c>
      <c r="Q5" s="7">
        <v>0</v>
      </c>
      <c r="R5" s="7">
        <v>13930</v>
      </c>
      <c r="S5" s="6"/>
      <c r="T5" s="8"/>
    </row>
    <row r="6" spans="1:32" x14ac:dyDescent="0.3">
      <c r="A6" s="4">
        <v>46026</v>
      </c>
      <c r="B6" s="1">
        <f>74850+148955</f>
        <v>223805</v>
      </c>
      <c r="C6" s="7">
        <f t="shared" si="0"/>
        <v>203459.09090909088</v>
      </c>
      <c r="D6" s="7">
        <f t="shared" si="1"/>
        <v>20345.909090909088</v>
      </c>
      <c r="E6" s="1">
        <f>4000+7086</f>
        <v>11086</v>
      </c>
      <c r="F6" s="7">
        <f t="shared" si="2"/>
        <v>10078.181818181818</v>
      </c>
      <c r="G6" s="7">
        <f t="shared" si="3"/>
        <v>1007.8181818181818</v>
      </c>
      <c r="H6" s="1">
        <v>600</v>
      </c>
      <c r="I6" s="7">
        <f t="shared" si="4"/>
        <v>500</v>
      </c>
      <c r="J6" s="7">
        <f t="shared" si="5"/>
        <v>100</v>
      </c>
      <c r="K6" s="1">
        <f>840+4080</f>
        <v>4920</v>
      </c>
      <c r="L6" s="7">
        <f t="shared" si="6"/>
        <v>4100</v>
      </c>
      <c r="M6" s="7">
        <f t="shared" si="7"/>
        <v>820</v>
      </c>
      <c r="N6" s="1">
        <f>6580+12735</f>
        <v>19315</v>
      </c>
      <c r="O6" s="1">
        <f>73110-10000+147986-10609-1415</f>
        <v>199072</v>
      </c>
      <c r="P6" s="1">
        <f>10000+10609+1415</f>
        <v>22024</v>
      </c>
      <c r="Q6" s="7">
        <v>0</v>
      </c>
      <c r="R6" s="7">
        <v>0</v>
      </c>
      <c r="T6" s="8" t="s">
        <v>13</v>
      </c>
    </row>
    <row r="7" spans="1:32" x14ac:dyDescent="0.3">
      <c r="A7" s="4">
        <v>46028</v>
      </c>
      <c r="B7" s="1">
        <f>78890</f>
        <v>78890</v>
      </c>
      <c r="C7" s="7">
        <f t="shared" si="0"/>
        <v>71718.181818181809</v>
      </c>
      <c r="D7" s="7">
        <f t="shared" si="1"/>
        <v>7171.8181818181811</v>
      </c>
      <c r="E7" s="1">
        <v>8370</v>
      </c>
      <c r="F7" s="7">
        <f t="shared" si="2"/>
        <v>7609.0909090909081</v>
      </c>
      <c r="G7" s="7">
        <f t="shared" si="3"/>
        <v>760.90909090909088</v>
      </c>
      <c r="H7" s="7">
        <v>0</v>
      </c>
      <c r="I7" s="7">
        <f t="shared" si="4"/>
        <v>0</v>
      </c>
      <c r="J7" s="7">
        <f t="shared" si="5"/>
        <v>0</v>
      </c>
      <c r="K7" s="7">
        <v>0</v>
      </c>
      <c r="L7" s="7">
        <f t="shared" si="6"/>
        <v>0</v>
      </c>
      <c r="M7" s="7">
        <f t="shared" si="7"/>
        <v>0</v>
      </c>
      <c r="N7" s="1">
        <v>3000</v>
      </c>
      <c r="O7" s="1">
        <f>84260-1309</f>
        <v>82951</v>
      </c>
      <c r="P7" s="1">
        <v>1309</v>
      </c>
      <c r="Q7" s="7">
        <v>0</v>
      </c>
      <c r="R7" s="7">
        <v>10210</v>
      </c>
      <c r="S7" s="8"/>
      <c r="T7" s="6"/>
    </row>
    <row r="8" spans="1:32" x14ac:dyDescent="0.3">
      <c r="A8" s="4">
        <v>46029</v>
      </c>
      <c r="B8" s="1">
        <f>51580+28965</f>
        <v>80545</v>
      </c>
      <c r="C8" s="7">
        <f t="shared" si="0"/>
        <v>73222.727272727265</v>
      </c>
      <c r="D8" s="7">
        <f t="shared" si="1"/>
        <v>7322.272727272727</v>
      </c>
      <c r="E8" s="1">
        <f>3295+1240</f>
        <v>4535</v>
      </c>
      <c r="F8" s="7">
        <f t="shared" si="2"/>
        <v>4122.7272727272721</v>
      </c>
      <c r="G8" s="7">
        <f t="shared" si="3"/>
        <v>412.2727272727272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1">
        <f>2750+2500</f>
        <v>5250</v>
      </c>
      <c r="O8" s="1">
        <f>52125+27705</f>
        <v>79830</v>
      </c>
      <c r="P8" s="7">
        <v>0</v>
      </c>
      <c r="Q8" s="7">
        <v>0</v>
      </c>
      <c r="R8" s="7">
        <v>0</v>
      </c>
      <c r="S8" s="6"/>
      <c r="T8" s="6"/>
    </row>
    <row r="9" spans="1:32" x14ac:dyDescent="0.3">
      <c r="A9" s="4">
        <v>46030</v>
      </c>
      <c r="B9" s="1">
        <f>26305+8465</f>
        <v>34770</v>
      </c>
      <c r="C9" s="7">
        <f t="shared" si="0"/>
        <v>31609.090909090908</v>
      </c>
      <c r="D9" s="7">
        <f t="shared" si="1"/>
        <v>3160.9090909090905</v>
      </c>
      <c r="E9" s="1">
        <f>2425+370</f>
        <v>2795</v>
      </c>
      <c r="F9" s="7">
        <f t="shared" si="2"/>
        <v>2540.9090909090905</v>
      </c>
      <c r="G9" s="7">
        <f t="shared" si="3"/>
        <v>254.09090909090904</v>
      </c>
      <c r="H9" s="7">
        <v>0</v>
      </c>
      <c r="I9" s="7">
        <f t="shared" si="4"/>
        <v>0</v>
      </c>
      <c r="J9" s="7">
        <f t="shared" si="5"/>
        <v>0</v>
      </c>
      <c r="K9" s="7">
        <v>0</v>
      </c>
      <c r="L9" s="7">
        <f t="shared" si="6"/>
        <v>0</v>
      </c>
      <c r="M9" s="7">
        <f t="shared" si="7"/>
        <v>0</v>
      </c>
      <c r="N9" s="1">
        <f>2435</f>
        <v>2435</v>
      </c>
      <c r="O9" s="1">
        <f>26295+8835</f>
        <v>35130</v>
      </c>
      <c r="P9" s="7">
        <v>0</v>
      </c>
      <c r="Q9" s="7">
        <v>0</v>
      </c>
      <c r="R9" s="7">
        <v>3500</v>
      </c>
      <c r="S9" s="6"/>
      <c r="T9" s="6"/>
    </row>
    <row r="10" spans="1:32" x14ac:dyDescent="0.3">
      <c r="A10" s="4">
        <v>46031</v>
      </c>
      <c r="B10" s="1">
        <f>47922.5+24795</f>
        <v>72717.5</v>
      </c>
      <c r="C10" s="7">
        <f t="shared" si="0"/>
        <v>66106.818181818177</v>
      </c>
      <c r="D10" s="7">
        <f t="shared" si="1"/>
        <v>6610.681818181818</v>
      </c>
      <c r="E10" s="1">
        <f>630+2530</f>
        <v>3160</v>
      </c>
      <c r="F10" s="7">
        <f t="shared" si="2"/>
        <v>2872.7272727272725</v>
      </c>
      <c r="G10" s="7">
        <f t="shared" si="3"/>
        <v>287.27272727272725</v>
      </c>
      <c r="H10" s="7">
        <v>0</v>
      </c>
      <c r="I10" s="7">
        <f t="shared" si="4"/>
        <v>0</v>
      </c>
      <c r="J10" s="7">
        <f t="shared" si="5"/>
        <v>0</v>
      </c>
      <c r="K10" s="7">
        <v>0</v>
      </c>
      <c r="L10" s="7">
        <f t="shared" si="6"/>
        <v>0</v>
      </c>
      <c r="M10" s="7">
        <f t="shared" si="7"/>
        <v>0</v>
      </c>
      <c r="N10" s="1">
        <f>110</f>
        <v>110</v>
      </c>
      <c r="O10" s="1">
        <f>48552.5-1250+27215-1450-3060</f>
        <v>70007.5</v>
      </c>
      <c r="P10" s="1">
        <f>3060+1450+1250</f>
        <v>5760</v>
      </c>
      <c r="Q10" s="7">
        <v>0</v>
      </c>
      <c r="R10" s="7">
        <f>5000+5500+12600</f>
        <v>23100</v>
      </c>
      <c r="S10" s="6"/>
      <c r="T10" s="6"/>
    </row>
    <row r="11" spans="1:32" x14ac:dyDescent="0.3">
      <c r="A11" s="4">
        <v>46032</v>
      </c>
      <c r="B11" s="1">
        <f>51355+17130+72827</f>
        <v>141312</v>
      </c>
      <c r="C11" s="7">
        <f t="shared" si="0"/>
        <v>128465.45454545453</v>
      </c>
      <c r="D11" s="7">
        <f t="shared" si="1"/>
        <v>12846.545454545454</v>
      </c>
      <c r="E11" s="1">
        <f>5540+1330+6430</f>
        <v>13300</v>
      </c>
      <c r="F11" s="7">
        <f t="shared" si="2"/>
        <v>12090.90909090909</v>
      </c>
      <c r="G11" s="7">
        <f t="shared" si="3"/>
        <v>1209.090909090909</v>
      </c>
      <c r="H11" s="1">
        <v>500</v>
      </c>
      <c r="I11" s="7">
        <f t="shared" si="4"/>
        <v>416.66666666666669</v>
      </c>
      <c r="J11" s="7">
        <f t="shared" si="5"/>
        <v>83.333333333333343</v>
      </c>
      <c r="K11" s="7">
        <v>0</v>
      </c>
      <c r="L11" s="7">
        <f t="shared" si="6"/>
        <v>0</v>
      </c>
      <c r="M11" s="7">
        <f t="shared" si="7"/>
        <v>0</v>
      </c>
      <c r="N11" s="1">
        <f>6340</f>
        <v>6340</v>
      </c>
      <c r="O11" s="1">
        <f>50555-2500-1250+18960+79257</f>
        <v>145022</v>
      </c>
      <c r="P11" s="1">
        <f>1250+2500</f>
        <v>3750</v>
      </c>
      <c r="Q11" s="7">
        <v>200</v>
      </c>
      <c r="R11" s="7">
        <f>11555+11750</f>
        <v>23305</v>
      </c>
      <c r="S11" s="6"/>
      <c r="T11" s="6"/>
    </row>
    <row r="12" spans="1:32" x14ac:dyDescent="0.3">
      <c r="A12" s="4">
        <v>46033</v>
      </c>
      <c r="B12" s="1">
        <f>109530.95+124447.5</f>
        <v>233978.45</v>
      </c>
      <c r="C12" s="7">
        <f t="shared" si="0"/>
        <v>212707.68181818182</v>
      </c>
      <c r="D12" s="7">
        <f t="shared" si="1"/>
        <v>21270.768181818185</v>
      </c>
      <c r="E12" s="1">
        <f>8171.55+7400</f>
        <v>15571.55</v>
      </c>
      <c r="F12" s="7">
        <f t="shared" si="2"/>
        <v>14155.954545454544</v>
      </c>
      <c r="G12" s="7">
        <f t="shared" si="3"/>
        <v>1415.5954545454545</v>
      </c>
      <c r="H12" s="1">
        <f>400+200</f>
        <v>600</v>
      </c>
      <c r="I12" s="7">
        <f t="shared" si="4"/>
        <v>500</v>
      </c>
      <c r="J12" s="7">
        <f t="shared" si="5"/>
        <v>100</v>
      </c>
      <c r="K12" s="7">
        <v>0</v>
      </c>
      <c r="L12" s="7">
        <f t="shared" si="6"/>
        <v>0</v>
      </c>
      <c r="M12" s="7">
        <f t="shared" si="7"/>
        <v>0</v>
      </c>
      <c r="N12" s="1">
        <f>5450+7000</f>
        <v>12450</v>
      </c>
      <c r="O12" s="1">
        <f>112652.5-6500+125047.5-4250-3795</f>
        <v>223155</v>
      </c>
      <c r="P12" s="1">
        <f>6500+4250+3795</f>
        <v>14545</v>
      </c>
      <c r="Q12" s="7">
        <v>0</v>
      </c>
      <c r="R12" s="7">
        <v>5500</v>
      </c>
      <c r="S12" s="6"/>
      <c r="T12" s="6"/>
    </row>
    <row r="13" spans="1:32" x14ac:dyDescent="0.3">
      <c r="A13" s="4">
        <v>46035</v>
      </c>
      <c r="B13" s="1">
        <f>20359+21130</f>
        <v>41489</v>
      </c>
      <c r="C13" s="7">
        <f t="shared" si="0"/>
        <v>37717.272727272721</v>
      </c>
      <c r="D13" s="7">
        <f t="shared" si="1"/>
        <v>3771.7272727272716</v>
      </c>
      <c r="E13" s="1">
        <f>1190+2360</f>
        <v>3550</v>
      </c>
      <c r="F13" s="7">
        <f t="shared" si="2"/>
        <v>3227.272727272727</v>
      </c>
      <c r="G13" s="7">
        <f t="shared" si="3"/>
        <v>322.72727272727275</v>
      </c>
      <c r="H13" s="7">
        <v>0</v>
      </c>
      <c r="I13" s="7">
        <f t="shared" si="4"/>
        <v>0</v>
      </c>
      <c r="J13" s="7">
        <f t="shared" si="5"/>
        <v>0</v>
      </c>
      <c r="K13" s="7">
        <v>0</v>
      </c>
      <c r="L13" s="7">
        <f t="shared" si="6"/>
        <v>0</v>
      </c>
      <c r="M13" s="7">
        <f t="shared" si="7"/>
        <v>0</v>
      </c>
      <c r="N13" s="1">
        <f>1510</f>
        <v>1510</v>
      </c>
      <c r="O13" s="1">
        <f>20039-5984+23490-2500-3210</f>
        <v>31835</v>
      </c>
      <c r="P13" s="1">
        <f>5984+2500+3210</f>
        <v>11694</v>
      </c>
      <c r="Q13" s="7">
        <v>0</v>
      </c>
      <c r="R13" s="7">
        <v>0</v>
      </c>
      <c r="S13" s="6"/>
      <c r="T13" s="8"/>
    </row>
    <row r="14" spans="1:32" x14ac:dyDescent="0.3">
      <c r="A14" s="4">
        <v>46036</v>
      </c>
      <c r="B14" s="1">
        <f>18775+64485</f>
        <v>83260</v>
      </c>
      <c r="C14" s="7">
        <f t="shared" si="0"/>
        <v>75690.909090909088</v>
      </c>
      <c r="D14" s="7">
        <f t="shared" si="1"/>
        <v>7569.0909090909081</v>
      </c>
      <c r="E14" s="1">
        <f>600+3795</f>
        <v>4395</v>
      </c>
      <c r="F14" s="7">
        <f t="shared" si="2"/>
        <v>3995.454545454545</v>
      </c>
      <c r="G14" s="7">
        <f t="shared" si="3"/>
        <v>399.5454545454545</v>
      </c>
      <c r="H14" s="7">
        <v>0</v>
      </c>
      <c r="I14" s="7">
        <f t="shared" si="4"/>
        <v>0</v>
      </c>
      <c r="J14" s="7">
        <f t="shared" si="5"/>
        <v>0</v>
      </c>
      <c r="K14" s="7">
        <v>0</v>
      </c>
      <c r="L14" s="7">
        <f t="shared" si="6"/>
        <v>0</v>
      </c>
      <c r="M14" s="7">
        <f t="shared" si="7"/>
        <v>0</v>
      </c>
      <c r="N14" s="1">
        <f>545</f>
        <v>545</v>
      </c>
      <c r="O14" s="1">
        <f>19375+67735-5845-5315</f>
        <v>75950</v>
      </c>
      <c r="P14" s="1">
        <f>5845+5315</f>
        <v>11160</v>
      </c>
      <c r="Q14" s="7">
        <v>0</v>
      </c>
      <c r="R14" s="7">
        <v>0</v>
      </c>
      <c r="S14" s="6"/>
      <c r="T14" s="6"/>
    </row>
    <row r="15" spans="1:32" x14ac:dyDescent="0.3">
      <c r="A15" s="4">
        <v>46037</v>
      </c>
      <c r="B15" s="1">
        <f>21995+26250</f>
        <v>48245</v>
      </c>
      <c r="C15" s="7">
        <f t="shared" si="0"/>
        <v>43859.090909090904</v>
      </c>
      <c r="D15" s="7">
        <f t="shared" si="1"/>
        <v>4385.909090909091</v>
      </c>
      <c r="E15" s="1">
        <f>1920+310</f>
        <v>2230</v>
      </c>
      <c r="F15" s="7">
        <f t="shared" si="2"/>
        <v>2027.272727272727</v>
      </c>
      <c r="G15" s="7">
        <f t="shared" si="3"/>
        <v>202.72727272727272</v>
      </c>
      <c r="H15" s="7">
        <v>0</v>
      </c>
      <c r="I15" s="7">
        <f t="shared" si="4"/>
        <v>0</v>
      </c>
      <c r="J15" s="7">
        <f t="shared" si="5"/>
        <v>0</v>
      </c>
      <c r="K15" s="7">
        <v>0</v>
      </c>
      <c r="L15" s="7">
        <f t="shared" si="6"/>
        <v>0</v>
      </c>
      <c r="M15" s="7">
        <f t="shared" si="7"/>
        <v>0</v>
      </c>
      <c r="N15" s="1">
        <f>1290+1450</f>
        <v>2740</v>
      </c>
      <c r="O15" s="1">
        <f>22625-4395+25110</f>
        <v>43340</v>
      </c>
      <c r="P15" s="1">
        <v>4395</v>
      </c>
      <c r="Q15" s="7">
        <v>0</v>
      </c>
      <c r="R15" s="7">
        <v>9985</v>
      </c>
      <c r="S15" s="6"/>
      <c r="T15" s="6"/>
    </row>
    <row r="16" spans="1:32" x14ac:dyDescent="0.3">
      <c r="A16" s="4">
        <v>46038</v>
      </c>
      <c r="B16" s="1">
        <f>41625+56380</f>
        <v>98005</v>
      </c>
      <c r="C16" s="7">
        <f t="shared" si="0"/>
        <v>89095.454545454544</v>
      </c>
      <c r="D16" s="7">
        <f t="shared" si="1"/>
        <v>8909.545454545454</v>
      </c>
      <c r="E16" s="1">
        <f>5220+5630</f>
        <v>10850</v>
      </c>
      <c r="F16" s="7">
        <f t="shared" si="2"/>
        <v>9863.6363636363621</v>
      </c>
      <c r="G16" s="7">
        <f t="shared" si="3"/>
        <v>986.36363636363615</v>
      </c>
      <c r="H16" s="1">
        <v>600</v>
      </c>
      <c r="I16" s="7">
        <f t="shared" si="4"/>
        <v>500</v>
      </c>
      <c r="J16" s="7">
        <f t="shared" si="5"/>
        <v>100</v>
      </c>
      <c r="K16" s="7">
        <v>0</v>
      </c>
      <c r="L16" s="7">
        <f t="shared" si="6"/>
        <v>0</v>
      </c>
      <c r="M16" s="7">
        <f t="shared" si="7"/>
        <v>0</v>
      </c>
      <c r="N16" s="1">
        <f>10420+5535</f>
        <v>15955</v>
      </c>
      <c r="O16" s="1">
        <f>37025+56475-3625</f>
        <v>89875</v>
      </c>
      <c r="P16" s="1">
        <v>3625</v>
      </c>
      <c r="Q16" s="7">
        <v>0</v>
      </c>
      <c r="R16" s="7">
        <v>0</v>
      </c>
      <c r="S16" s="6"/>
      <c r="T16" s="6"/>
    </row>
    <row r="17" spans="1:20" x14ac:dyDescent="0.3">
      <c r="A17" s="4">
        <v>46039</v>
      </c>
      <c r="B17" s="1">
        <f>120210+118160</f>
        <v>238370</v>
      </c>
      <c r="C17" s="7">
        <f t="shared" si="0"/>
        <v>216699.99999999997</v>
      </c>
      <c r="D17" s="7">
        <f t="shared" si="1"/>
        <v>21669.999999999996</v>
      </c>
      <c r="E17" s="1">
        <f>5665+7665</f>
        <v>13330</v>
      </c>
      <c r="F17" s="7">
        <f t="shared" si="2"/>
        <v>12118.181818181818</v>
      </c>
      <c r="G17" s="7">
        <f t="shared" si="3"/>
        <v>1211.8181818181818</v>
      </c>
      <c r="H17" s="7">
        <v>0</v>
      </c>
      <c r="I17" s="7">
        <f t="shared" si="4"/>
        <v>0</v>
      </c>
      <c r="J17" s="7">
        <f t="shared" si="5"/>
        <v>0</v>
      </c>
      <c r="K17" s="7">
        <v>0</v>
      </c>
      <c r="L17" s="7">
        <f t="shared" si="6"/>
        <v>0</v>
      </c>
      <c r="M17" s="7">
        <f t="shared" si="7"/>
        <v>0</v>
      </c>
      <c r="N17" s="1">
        <f>2580+6465</f>
        <v>9045</v>
      </c>
      <c r="O17" s="1">
        <f>123295-14340-2500+119360-2500-4340</f>
        <v>218975</v>
      </c>
      <c r="P17" s="1">
        <f>14340+2500+2500+4340</f>
        <v>23680</v>
      </c>
      <c r="Q17" s="7">
        <v>0</v>
      </c>
      <c r="R17" s="7">
        <v>5112.5</v>
      </c>
      <c r="S17" s="6" t="s">
        <v>14</v>
      </c>
      <c r="T17" s="6"/>
    </row>
    <row r="18" spans="1:20" x14ac:dyDescent="0.3">
      <c r="A18" s="4">
        <v>46040</v>
      </c>
      <c r="B18" s="1">
        <f>115965+121990</f>
        <v>237955</v>
      </c>
      <c r="C18" s="7">
        <f t="shared" si="0"/>
        <v>216322.72727272726</v>
      </c>
      <c r="D18" s="7">
        <f t="shared" si="1"/>
        <v>21632.272727272724</v>
      </c>
      <c r="E18" s="1">
        <f>8690+7890</f>
        <v>16580</v>
      </c>
      <c r="F18" s="7">
        <f t="shared" si="2"/>
        <v>15072.727272727272</v>
      </c>
      <c r="G18" s="7">
        <f t="shared" si="3"/>
        <v>1507.272727272727</v>
      </c>
      <c r="H18" s="1">
        <f>1445+600</f>
        <v>2045</v>
      </c>
      <c r="I18" s="7">
        <f t="shared" si="4"/>
        <v>1704.1666666666667</v>
      </c>
      <c r="J18" s="7">
        <f t="shared" si="5"/>
        <v>340.83333333333337</v>
      </c>
      <c r="K18" s="7">
        <v>0</v>
      </c>
      <c r="L18" s="7">
        <f t="shared" si="6"/>
        <v>0</v>
      </c>
      <c r="M18" s="7">
        <f t="shared" si="7"/>
        <v>0</v>
      </c>
      <c r="N18" s="1">
        <f>7345+9110</f>
        <v>16455</v>
      </c>
      <c r="O18" s="1">
        <f>118755-6975+121370-1250-13990</f>
        <v>217910</v>
      </c>
      <c r="P18" s="1">
        <f>6975+1250+13990</f>
        <v>22215</v>
      </c>
      <c r="Q18" s="7">
        <v>0</v>
      </c>
      <c r="R18" s="7">
        <v>11250</v>
      </c>
      <c r="S18" s="6"/>
      <c r="T18" s="6"/>
    </row>
    <row r="19" spans="1:20" x14ac:dyDescent="0.3">
      <c r="A19" s="4">
        <v>46042</v>
      </c>
      <c r="B19" s="1">
        <f>65355+37605</f>
        <v>102960</v>
      </c>
      <c r="C19" s="7">
        <f t="shared" si="0"/>
        <v>93599.999999999985</v>
      </c>
      <c r="D19" s="7">
        <f t="shared" si="1"/>
        <v>9359.9999999999982</v>
      </c>
      <c r="E19" s="1">
        <f>5595+2205</f>
        <v>7800</v>
      </c>
      <c r="F19" s="7">
        <f t="shared" si="2"/>
        <v>7090.9090909090901</v>
      </c>
      <c r="G19" s="7">
        <f t="shared" si="3"/>
        <v>709.09090909090901</v>
      </c>
      <c r="H19" s="7">
        <v>0</v>
      </c>
      <c r="I19" s="7">
        <f t="shared" si="4"/>
        <v>0</v>
      </c>
      <c r="J19" s="7">
        <f t="shared" si="5"/>
        <v>0</v>
      </c>
      <c r="K19" s="7">
        <v>0</v>
      </c>
      <c r="L19" s="7">
        <f t="shared" si="6"/>
        <v>0</v>
      </c>
      <c r="M19" s="7">
        <f t="shared" si="7"/>
        <v>0</v>
      </c>
      <c r="N19" s="1">
        <f>4568+2000</f>
        <v>6568</v>
      </c>
      <c r="O19" s="1">
        <f>66382-8835+37810</f>
        <v>95357</v>
      </c>
      <c r="P19" s="1">
        <v>8835</v>
      </c>
      <c r="Q19" s="7">
        <v>0</v>
      </c>
      <c r="R19" s="7">
        <v>0</v>
      </c>
      <c r="S19" s="6"/>
      <c r="T19" s="6"/>
    </row>
    <row r="20" spans="1:20" x14ac:dyDescent="0.3">
      <c r="A20" s="4">
        <v>46043</v>
      </c>
      <c r="B20" s="1">
        <f>56519+32415</f>
        <v>88934</v>
      </c>
      <c r="C20" s="7">
        <f t="shared" si="0"/>
        <v>80849.090909090897</v>
      </c>
      <c r="D20" s="7">
        <f t="shared" si="1"/>
        <v>8084.9090909090892</v>
      </c>
      <c r="E20" s="1">
        <f>3440+3945</f>
        <v>7385</v>
      </c>
      <c r="F20" s="7">
        <f t="shared" si="2"/>
        <v>6713.6363636363631</v>
      </c>
      <c r="G20" s="7">
        <f t="shared" si="3"/>
        <v>671.36363636363637</v>
      </c>
      <c r="H20" s="1">
        <v>788</v>
      </c>
      <c r="I20" s="7">
        <f t="shared" si="4"/>
        <v>656.66666666666674</v>
      </c>
      <c r="J20" s="7">
        <f t="shared" si="5"/>
        <v>131.33333333333337</v>
      </c>
      <c r="K20" s="7">
        <v>0</v>
      </c>
      <c r="L20" s="7">
        <f t="shared" si="6"/>
        <v>0</v>
      </c>
      <c r="M20" s="7">
        <f t="shared" si="7"/>
        <v>0</v>
      </c>
      <c r="N20" s="1">
        <f>2450+2500</f>
        <v>4950</v>
      </c>
      <c r="O20" s="1">
        <f>57509-6325-3500+34648-1400-1400</f>
        <v>79532</v>
      </c>
      <c r="P20" s="1">
        <f>6325+3500+1400+1400</f>
        <v>12625</v>
      </c>
      <c r="Q20" s="7">
        <v>0</v>
      </c>
      <c r="R20" s="7">
        <v>37500</v>
      </c>
      <c r="S20" s="6"/>
      <c r="T20" s="6"/>
    </row>
    <row r="21" spans="1:20" x14ac:dyDescent="0.3">
      <c r="A21" s="4">
        <v>46044</v>
      </c>
      <c r="B21" s="1">
        <f>64560+470</f>
        <v>65030</v>
      </c>
      <c r="C21" s="7">
        <f t="shared" si="0"/>
        <v>59118.181818181816</v>
      </c>
      <c r="D21" s="7">
        <f t="shared" si="1"/>
        <v>5911.8181818181811</v>
      </c>
      <c r="E21" s="1">
        <f>7865+330</f>
        <v>8195</v>
      </c>
      <c r="F21" s="7">
        <f t="shared" si="2"/>
        <v>7449.9999999999991</v>
      </c>
      <c r="G21" s="7">
        <f t="shared" si="3"/>
        <v>744.99999999999989</v>
      </c>
      <c r="H21" s="7">
        <v>0</v>
      </c>
      <c r="I21" s="7">
        <f t="shared" si="4"/>
        <v>0</v>
      </c>
      <c r="J21" s="7">
        <f t="shared" si="5"/>
        <v>0</v>
      </c>
      <c r="K21" s="7">
        <v>0</v>
      </c>
      <c r="L21" s="7">
        <f t="shared" si="6"/>
        <v>0</v>
      </c>
      <c r="M21" s="7">
        <f t="shared" si="7"/>
        <v>0</v>
      </c>
      <c r="N21" s="1">
        <f>4330</f>
        <v>4330</v>
      </c>
      <c r="O21" s="1">
        <f>68095+800</f>
        <v>68895</v>
      </c>
      <c r="P21" s="7">
        <v>0</v>
      </c>
      <c r="Q21" s="7">
        <v>0</v>
      </c>
      <c r="R21" s="7">
        <v>0</v>
      </c>
      <c r="S21" s="6"/>
      <c r="T21" s="6"/>
    </row>
    <row r="22" spans="1:20" x14ac:dyDescent="0.3">
      <c r="A22" s="4">
        <v>46045</v>
      </c>
      <c r="B22" s="1">
        <f>72985+24100</f>
        <v>97085</v>
      </c>
      <c r="C22" s="7">
        <f t="shared" si="0"/>
        <v>88259.090909090897</v>
      </c>
      <c r="D22" s="7">
        <f t="shared" si="1"/>
        <v>8825.9090909090901</v>
      </c>
      <c r="E22" s="1">
        <f>3410+990</f>
        <v>4400</v>
      </c>
      <c r="F22" s="7">
        <f t="shared" si="2"/>
        <v>3999.9999999999995</v>
      </c>
      <c r="G22" s="7">
        <f t="shared" si="3"/>
        <v>399.99999999999994</v>
      </c>
      <c r="H22" s="7">
        <v>0</v>
      </c>
      <c r="I22" s="7">
        <f t="shared" si="4"/>
        <v>0</v>
      </c>
      <c r="J22" s="7">
        <f t="shared" si="5"/>
        <v>0</v>
      </c>
      <c r="K22" s="7">
        <v>0</v>
      </c>
      <c r="L22" s="7">
        <f t="shared" si="6"/>
        <v>0</v>
      </c>
      <c r="M22" s="7">
        <f t="shared" si="7"/>
        <v>0</v>
      </c>
      <c r="N22" s="1">
        <f>3490+2700</f>
        <v>6190</v>
      </c>
      <c r="O22" s="1">
        <f>72905-1045+22390</f>
        <v>94250</v>
      </c>
      <c r="P22" s="1">
        <v>1045</v>
      </c>
      <c r="Q22" s="7">
        <v>0</v>
      </c>
      <c r="R22" s="7">
        <v>0</v>
      </c>
      <c r="S22" s="6"/>
      <c r="T22" s="8"/>
    </row>
    <row r="23" spans="1:20" x14ac:dyDescent="0.3">
      <c r="A23" s="4">
        <v>46046</v>
      </c>
      <c r="B23" s="1">
        <f>76165+103575</f>
        <v>179740</v>
      </c>
      <c r="C23" s="7">
        <f t="shared" si="0"/>
        <v>163400</v>
      </c>
      <c r="D23" s="7">
        <f t="shared" si="1"/>
        <v>16340</v>
      </c>
      <c r="E23" s="1">
        <f>5260+7230</f>
        <v>12490</v>
      </c>
      <c r="F23" s="7">
        <f t="shared" si="2"/>
        <v>11354.545454545454</v>
      </c>
      <c r="G23" s="7">
        <f t="shared" si="3"/>
        <v>1135.4545454545455</v>
      </c>
      <c r="H23" s="1">
        <v>1400</v>
      </c>
      <c r="I23" s="7">
        <f t="shared" si="4"/>
        <v>1166.6666666666667</v>
      </c>
      <c r="J23" s="7">
        <f t="shared" si="5"/>
        <v>233.33333333333337</v>
      </c>
      <c r="K23" s="7">
        <v>0</v>
      </c>
      <c r="L23" s="7">
        <f t="shared" si="6"/>
        <v>0</v>
      </c>
      <c r="M23" s="7">
        <f t="shared" si="7"/>
        <v>0</v>
      </c>
      <c r="N23" s="1">
        <f>3580+600</f>
        <v>4180</v>
      </c>
      <c r="O23" s="1">
        <f>77845+111605-2850</f>
        <v>186600</v>
      </c>
      <c r="P23" s="1">
        <v>2850</v>
      </c>
      <c r="Q23" s="7">
        <v>0</v>
      </c>
      <c r="R23" s="7">
        <v>0</v>
      </c>
      <c r="S23" s="6"/>
      <c r="T23" s="6"/>
    </row>
    <row r="24" spans="1:20" x14ac:dyDescent="0.3">
      <c r="A24" s="4">
        <v>46047</v>
      </c>
      <c r="B24" s="1">
        <f>193255+144750</f>
        <v>338005</v>
      </c>
      <c r="C24" s="7">
        <f t="shared" si="0"/>
        <v>307277.27272727271</v>
      </c>
      <c r="D24" s="7">
        <f t="shared" si="1"/>
        <v>30727.727272727272</v>
      </c>
      <c r="E24" s="1">
        <f>9240+4125</f>
        <v>13365</v>
      </c>
      <c r="F24" s="7">
        <f t="shared" si="2"/>
        <v>12149.999999999998</v>
      </c>
      <c r="G24" s="7">
        <f t="shared" si="3"/>
        <v>1214.9999999999998</v>
      </c>
      <c r="H24" s="1">
        <f>200+210</f>
        <v>410</v>
      </c>
      <c r="I24" s="7">
        <f t="shared" si="4"/>
        <v>341.66666666666669</v>
      </c>
      <c r="J24" s="7">
        <f t="shared" si="5"/>
        <v>68.333333333333343</v>
      </c>
      <c r="K24" s="7">
        <v>0</v>
      </c>
      <c r="L24" s="7">
        <f t="shared" si="6"/>
        <v>0</v>
      </c>
      <c r="M24" s="7">
        <f t="shared" si="7"/>
        <v>0</v>
      </c>
      <c r="N24" s="1">
        <f>13940+9440</f>
        <v>23380</v>
      </c>
      <c r="O24" s="1">
        <f>135145+193255-7750-7500</f>
        <v>313150</v>
      </c>
      <c r="P24" s="1">
        <f>7750+7500</f>
        <v>15250</v>
      </c>
      <c r="Q24" s="7">
        <v>0</v>
      </c>
      <c r="R24" s="7">
        <v>0</v>
      </c>
      <c r="S24" s="6"/>
      <c r="T24" s="6"/>
    </row>
    <row r="25" spans="1:20" x14ac:dyDescent="0.3">
      <c r="A25" s="4">
        <v>46049</v>
      </c>
      <c r="B25" s="1">
        <f>31290+36765</f>
        <v>68055</v>
      </c>
      <c r="C25" s="7">
        <f t="shared" si="0"/>
        <v>61868.181818181816</v>
      </c>
      <c r="D25" s="7">
        <f t="shared" si="1"/>
        <v>6186.8181818181811</v>
      </c>
      <c r="E25" s="1">
        <f>3710+2440</f>
        <v>6150</v>
      </c>
      <c r="F25" s="7">
        <f t="shared" si="2"/>
        <v>5590.9090909090901</v>
      </c>
      <c r="G25" s="7">
        <f t="shared" si="3"/>
        <v>559.09090909090901</v>
      </c>
      <c r="H25" s="7">
        <v>0</v>
      </c>
      <c r="I25" s="7">
        <f t="shared" si="4"/>
        <v>0</v>
      </c>
      <c r="J25" s="7">
        <f t="shared" si="5"/>
        <v>0</v>
      </c>
      <c r="K25" s="7">
        <v>0</v>
      </c>
      <c r="L25" s="7">
        <f t="shared" si="6"/>
        <v>0</v>
      </c>
      <c r="M25" s="7">
        <f t="shared" si="7"/>
        <v>0</v>
      </c>
      <c r="N25" s="1">
        <f>2805+3990</f>
        <v>6795</v>
      </c>
      <c r="O25" s="1">
        <f>32195+35215-1250</f>
        <v>66160</v>
      </c>
      <c r="P25" s="1">
        <v>1250</v>
      </c>
      <c r="Q25" s="7">
        <v>0</v>
      </c>
      <c r="R25" s="7">
        <v>0</v>
      </c>
      <c r="S25" s="6"/>
      <c r="T25" s="6"/>
    </row>
    <row r="26" spans="1:20" x14ac:dyDescent="0.3">
      <c r="A26" s="4">
        <v>46050</v>
      </c>
      <c r="B26" s="1">
        <f>78861+37955</f>
        <v>116816</v>
      </c>
      <c r="C26" s="7">
        <f t="shared" ref="C26:C29" si="8">B26/1.1</f>
        <v>106196.36363636363</v>
      </c>
      <c r="D26" s="7">
        <f t="shared" ref="D26:D29" si="9">C26*10/100</f>
        <v>10619.636363636362</v>
      </c>
      <c r="E26" s="1">
        <f>4109+4175</f>
        <v>8284</v>
      </c>
      <c r="F26" s="7">
        <f t="shared" ref="F26:F29" si="10">E26/1.1</f>
        <v>7530.9090909090901</v>
      </c>
      <c r="G26" s="7">
        <f t="shared" ref="G26:G29" si="11">F26*10/100</f>
        <v>753.09090909090901</v>
      </c>
      <c r="H26" s="1">
        <v>650</v>
      </c>
      <c r="I26" s="7">
        <f t="shared" ref="I26:I29" si="12">H26/1.2</f>
        <v>541.66666666666674</v>
      </c>
      <c r="J26" s="7">
        <f t="shared" ref="J26:J29" si="13">I26*20/100</f>
        <v>108.33333333333336</v>
      </c>
      <c r="K26" s="7">
        <v>0</v>
      </c>
      <c r="L26" s="7">
        <f t="shared" ref="L26:L29" si="14">K26/1.2</f>
        <v>0</v>
      </c>
      <c r="M26" s="7">
        <f t="shared" ref="M26:M29" si="15">L26*20/100</f>
        <v>0</v>
      </c>
      <c r="N26" s="1">
        <f>9000+1430</f>
        <v>10430</v>
      </c>
      <c r="O26" s="1">
        <f>74620-6875-4500+40700</f>
        <v>103945</v>
      </c>
      <c r="P26" s="1">
        <f>6875+4500</f>
        <v>11375</v>
      </c>
      <c r="Q26" s="7">
        <v>0</v>
      </c>
      <c r="R26" s="7">
        <f>7150+27500</f>
        <v>34650</v>
      </c>
      <c r="S26" s="6"/>
      <c r="T26" s="6"/>
    </row>
    <row r="27" spans="1:20" x14ac:dyDescent="0.3">
      <c r="A27" s="4">
        <v>46051</v>
      </c>
      <c r="B27" s="1">
        <f>48045+31101.32</f>
        <v>79146.320000000007</v>
      </c>
      <c r="C27" s="7">
        <f t="shared" si="8"/>
        <v>71951.199999999997</v>
      </c>
      <c r="D27" s="7">
        <f t="shared" si="9"/>
        <v>7195.12</v>
      </c>
      <c r="E27" s="1">
        <f>3815+3368.68</f>
        <v>7183.68</v>
      </c>
      <c r="F27" s="7">
        <f t="shared" si="10"/>
        <v>6530.6181818181813</v>
      </c>
      <c r="G27" s="7">
        <f t="shared" si="11"/>
        <v>653.06181818181813</v>
      </c>
      <c r="H27" s="7">
        <v>0</v>
      </c>
      <c r="I27" s="7">
        <f t="shared" si="12"/>
        <v>0</v>
      </c>
      <c r="J27" s="7">
        <f t="shared" si="13"/>
        <v>0</v>
      </c>
      <c r="K27" s="7">
        <v>0</v>
      </c>
      <c r="L27" s="7">
        <f t="shared" si="14"/>
        <v>0</v>
      </c>
      <c r="M27" s="7">
        <f t="shared" si="15"/>
        <v>0</v>
      </c>
      <c r="N27" s="1">
        <f>3230</f>
        <v>3230</v>
      </c>
      <c r="O27" s="1">
        <f>51860+31240</f>
        <v>83100</v>
      </c>
      <c r="P27" s="7">
        <v>0</v>
      </c>
      <c r="Q27" s="7">
        <v>0</v>
      </c>
      <c r="R27" s="7">
        <v>0</v>
      </c>
      <c r="S27" s="6"/>
      <c r="T27" s="6"/>
    </row>
    <row r="28" spans="1:20" x14ac:dyDescent="0.3">
      <c r="A28" s="4">
        <v>46052</v>
      </c>
      <c r="B28" s="1">
        <f>63790+60635</f>
        <v>124425</v>
      </c>
      <c r="C28" s="7">
        <f t="shared" si="8"/>
        <v>113113.63636363635</v>
      </c>
      <c r="D28" s="7">
        <f t="shared" si="9"/>
        <v>11311.363636363636</v>
      </c>
      <c r="E28" s="1">
        <f>5525+3320</f>
        <v>8845</v>
      </c>
      <c r="F28" s="7">
        <f t="shared" si="10"/>
        <v>8040.9090909090901</v>
      </c>
      <c r="G28" s="7">
        <f t="shared" si="11"/>
        <v>804.09090909090901</v>
      </c>
      <c r="H28" s="7">
        <v>0</v>
      </c>
      <c r="I28" s="7">
        <f t="shared" si="12"/>
        <v>0</v>
      </c>
      <c r="J28" s="7">
        <f t="shared" si="13"/>
        <v>0</v>
      </c>
      <c r="K28" s="7">
        <v>0</v>
      </c>
      <c r="L28" s="7">
        <f t="shared" si="14"/>
        <v>0</v>
      </c>
      <c r="M28" s="7">
        <f t="shared" si="15"/>
        <v>0</v>
      </c>
      <c r="N28" s="1">
        <f>5720+2420</f>
        <v>8140</v>
      </c>
      <c r="O28" s="1">
        <f>63595+61535</f>
        <v>125130</v>
      </c>
      <c r="P28" s="7">
        <v>0</v>
      </c>
      <c r="Q28" s="7">
        <v>0</v>
      </c>
      <c r="R28" s="7">
        <v>15000</v>
      </c>
      <c r="S28" s="6"/>
      <c r="T28" s="6"/>
    </row>
    <row r="29" spans="1:20" x14ac:dyDescent="0.3">
      <c r="A29" s="4">
        <v>46053</v>
      </c>
      <c r="B29" s="1">
        <f>77790+103580</f>
        <v>181370</v>
      </c>
      <c r="C29" s="7">
        <f t="shared" si="8"/>
        <v>164881.81818181818</v>
      </c>
      <c r="D29" s="7">
        <f t="shared" si="9"/>
        <v>16488.181818181816</v>
      </c>
      <c r="E29" s="1">
        <f>9730+7330</f>
        <v>17060</v>
      </c>
      <c r="F29" s="7">
        <f t="shared" si="10"/>
        <v>15509.090909090908</v>
      </c>
      <c r="G29" s="7">
        <f t="shared" si="11"/>
        <v>1550.909090909091</v>
      </c>
      <c r="H29" s="1">
        <v>500</v>
      </c>
      <c r="I29" s="7">
        <f t="shared" si="12"/>
        <v>416.66666666666669</v>
      </c>
      <c r="J29" s="7">
        <f t="shared" si="13"/>
        <v>83.333333333333343</v>
      </c>
      <c r="K29" s="7">
        <v>0</v>
      </c>
      <c r="L29" s="7">
        <f t="shared" si="14"/>
        <v>0</v>
      </c>
      <c r="M29" s="7">
        <f t="shared" si="15"/>
        <v>0</v>
      </c>
      <c r="N29" s="1">
        <f>11425</f>
        <v>11425</v>
      </c>
      <c r="O29" s="1">
        <f>76595-2500+110910-2500</f>
        <v>182505</v>
      </c>
      <c r="P29" s="1">
        <f>2500+2500</f>
        <v>5000</v>
      </c>
      <c r="Q29" s="7">
        <v>0</v>
      </c>
      <c r="R29" s="7">
        <v>6000</v>
      </c>
      <c r="S29" s="6"/>
      <c r="T29" s="6"/>
    </row>
    <row r="30" spans="1:20" ht="15.6" x14ac:dyDescent="0.3">
      <c r="B30" s="10">
        <f>SUM(B3:B29)</f>
        <v>3554913.27</v>
      </c>
      <c r="C30" s="10"/>
      <c r="D30" s="10"/>
      <c r="E30" s="10">
        <f>SUM(E3:E29)</f>
        <v>238685.22999999998</v>
      </c>
      <c r="F30" s="10"/>
      <c r="G30" s="10"/>
      <c r="H30" s="10">
        <f>SUM(H3:H29)</f>
        <v>8593</v>
      </c>
      <c r="I30" s="10"/>
      <c r="J30" s="10"/>
      <c r="K30" s="10">
        <f>SUM(K3:K29)</f>
        <v>17520</v>
      </c>
      <c r="L30" s="10"/>
      <c r="M30" s="10"/>
      <c r="N30" s="10">
        <f>SUM(N3:N29)</f>
        <v>197723</v>
      </c>
      <c r="O30" s="10">
        <f>SUM(O3:O29)</f>
        <v>3399073.5</v>
      </c>
      <c r="P30" s="10">
        <f>SUM(P3:P29)</f>
        <v>222915</v>
      </c>
      <c r="Q30" s="10">
        <f>SUM(Q3:Q29)</f>
        <v>200</v>
      </c>
      <c r="R30" s="10">
        <f>SUM(R3:R29)</f>
        <v>254107.5</v>
      </c>
      <c r="S30" s="11"/>
    </row>
    <row r="32" spans="1:20" x14ac:dyDescent="0.3">
      <c r="F32" s="3" t="s">
        <v>15</v>
      </c>
      <c r="G32" s="3" t="s">
        <v>16</v>
      </c>
      <c r="H32" s="3" t="s">
        <v>17</v>
      </c>
      <c r="I32" s="3" t="s">
        <v>18</v>
      </c>
      <c r="J32"/>
      <c r="K32" s="16"/>
      <c r="L32" s="12"/>
      <c r="M32" s="12"/>
      <c r="N32" s="12"/>
      <c r="O32" s="12"/>
      <c r="P32" s="12"/>
      <c r="Q32" s="12"/>
      <c r="R32" s="12"/>
    </row>
    <row r="33" spans="1:14" x14ac:dyDescent="0.3">
      <c r="A33" s="17">
        <v>0.1</v>
      </c>
      <c r="B33" s="16">
        <v>2134331.5</v>
      </c>
      <c r="C33" s="16">
        <v>1659267</v>
      </c>
      <c r="D33" s="16">
        <f>SUM(B33:C33)</f>
        <v>3793598.5</v>
      </c>
      <c r="E33"/>
      <c r="F33" s="16">
        <f>B30+E30</f>
        <v>3793598.5</v>
      </c>
      <c r="G33" s="16">
        <f>D33-F33</f>
        <v>0</v>
      </c>
      <c r="H33" s="16">
        <v>3684769.07</v>
      </c>
      <c r="I33" s="16">
        <f>H33*10/100</f>
        <v>368476.90699999995</v>
      </c>
      <c r="J33" s="16">
        <v>368476.93</v>
      </c>
      <c r="K33" s="16">
        <f>I33-J33</f>
        <v>-2.3000000044703484E-2</v>
      </c>
      <c r="L33" s="12"/>
    </row>
    <row r="34" spans="1:14" x14ac:dyDescent="0.3">
      <c r="A34" s="17">
        <v>0.2</v>
      </c>
      <c r="B34" s="16">
        <v>11770</v>
      </c>
      <c r="C34" s="16">
        <v>14343</v>
      </c>
      <c r="D34" s="16">
        <f t="shared" ref="D34:D40" si="16">SUM(B34:C34)</f>
        <v>26113</v>
      </c>
      <c r="E34" s="16"/>
      <c r="F34" s="16">
        <f>H30+K30</f>
        <v>26113</v>
      </c>
      <c r="G34" s="18">
        <f t="shared" ref="G34:G40" si="17">D34-F34</f>
        <v>0</v>
      </c>
      <c r="H34" s="16">
        <v>28872.53</v>
      </c>
      <c r="I34" s="16">
        <f>H34*20/100</f>
        <v>5774.5059999999994</v>
      </c>
      <c r="J34" s="16">
        <v>5774.47</v>
      </c>
      <c r="K34" s="16">
        <f>I34-J34</f>
        <v>3.5999999999148713E-2</v>
      </c>
      <c r="L34" s="12"/>
      <c r="N34" s="12"/>
    </row>
    <row r="35" spans="1:14" x14ac:dyDescent="0.3">
      <c r="A35" s="19" t="s">
        <v>19</v>
      </c>
      <c r="B35" s="20">
        <f>SUM(B33:B34)</f>
        <v>2146101.5</v>
      </c>
      <c r="C35" s="20">
        <f>SUM(C33:C34)</f>
        <v>1673610</v>
      </c>
      <c r="D35" s="20">
        <f t="shared" si="16"/>
        <v>3819711.5</v>
      </c>
      <c r="E35" s="16"/>
      <c r="F35" s="20">
        <f>SUM(F33:F34)</f>
        <v>3819711.5</v>
      </c>
      <c r="G35" s="16">
        <f t="shared" si="17"/>
        <v>0</v>
      </c>
      <c r="H35" s="16">
        <f>SUM(H33:H34)</f>
        <v>3713641.5999999996</v>
      </c>
      <c r="I35" s="16">
        <f>SUM(I33:I34)</f>
        <v>374251.41299999994</v>
      </c>
      <c r="J35" s="16">
        <f>H35+I35</f>
        <v>4087893.0129999993</v>
      </c>
      <c r="K35" s="16" t="s">
        <v>20</v>
      </c>
      <c r="L35" s="12"/>
    </row>
    <row r="36" spans="1:14" x14ac:dyDescent="0.3">
      <c r="A36" s="21" t="s">
        <v>21</v>
      </c>
      <c r="B36" s="16">
        <v>137378</v>
      </c>
      <c r="C36" s="16">
        <v>118200</v>
      </c>
      <c r="D36" s="16">
        <f t="shared" si="16"/>
        <v>255578</v>
      </c>
      <c r="E36"/>
      <c r="F36" s="16">
        <f>N30+Q30</f>
        <v>197923</v>
      </c>
      <c r="G36" s="16">
        <f t="shared" si="17"/>
        <v>57655</v>
      </c>
      <c r="H36" s="16"/>
      <c r="I36" s="16"/>
      <c r="J36" s="16">
        <f>F35</f>
        <v>3819711.5</v>
      </c>
      <c r="K36" s="16" t="s">
        <v>22</v>
      </c>
      <c r="L36" s="12"/>
    </row>
    <row r="37" spans="1:14" x14ac:dyDescent="0.3">
      <c r="A37" s="21" t="s">
        <v>23</v>
      </c>
      <c r="B37" s="16">
        <v>2162928.5</v>
      </c>
      <c r="C37" s="16">
        <v>1655512.5</v>
      </c>
      <c r="D37" s="16">
        <f t="shared" si="16"/>
        <v>3818441</v>
      </c>
      <c r="E37"/>
      <c r="F37" s="16">
        <f>O30+P30+R30</f>
        <v>3876096</v>
      </c>
      <c r="G37" s="16">
        <f t="shared" si="17"/>
        <v>-57655</v>
      </c>
      <c r="H37" s="16"/>
      <c r="I37" s="16"/>
      <c r="J37" s="16">
        <f>Q30+R30</f>
        <v>254307.5</v>
      </c>
      <c r="K37" s="16" t="s">
        <v>24</v>
      </c>
      <c r="L37" s="12"/>
    </row>
    <row r="38" spans="1:14" x14ac:dyDescent="0.3">
      <c r="A38" s="19" t="s">
        <v>19</v>
      </c>
      <c r="B38" s="20">
        <f>SUM(B36:B37)</f>
        <v>2300306.5</v>
      </c>
      <c r="C38" s="20">
        <f>SUM(C36:C37)</f>
        <v>1773712.5</v>
      </c>
      <c r="D38" s="20">
        <f t="shared" si="16"/>
        <v>4074019</v>
      </c>
      <c r="E38" s="20"/>
      <c r="F38" s="20">
        <f>SUM(F36:F37)</f>
        <v>4074019</v>
      </c>
      <c r="G38" s="16">
        <f t="shared" si="17"/>
        <v>0</v>
      </c>
      <c r="H38" s="16"/>
      <c r="I38" s="16"/>
      <c r="J38" s="16">
        <f>J35-J36-J37</f>
        <v>13874.012999999337</v>
      </c>
      <c r="K38" s="16"/>
      <c r="L38" s="12"/>
    </row>
    <row r="39" spans="1:14" x14ac:dyDescent="0.3">
      <c r="A39" s="22" t="s">
        <v>25</v>
      </c>
      <c r="B39" s="23">
        <f>B38-B35</f>
        <v>154205</v>
      </c>
      <c r="C39" s="23">
        <f t="shared" ref="C39:D39" si="18">C38-C35</f>
        <v>100102.5</v>
      </c>
      <c r="D39" s="23">
        <f t="shared" si="18"/>
        <v>254307.5</v>
      </c>
      <c r="E39" s="24"/>
      <c r="F39"/>
      <c r="G39" s="16"/>
      <c r="H39" s="16"/>
      <c r="I39" s="16"/>
      <c r="J39" s="16">
        <v>10970</v>
      </c>
      <c r="K39" s="16" t="s">
        <v>26</v>
      </c>
      <c r="L39" s="12"/>
    </row>
    <row r="40" spans="1:14" x14ac:dyDescent="0.3">
      <c r="A40" s="25" t="s">
        <v>27</v>
      </c>
      <c r="B40" s="18">
        <v>154205</v>
      </c>
      <c r="C40" s="18">
        <v>100102.5</v>
      </c>
      <c r="D40" s="18">
        <f t="shared" si="16"/>
        <v>254307.5</v>
      </c>
      <c r="E40" s="24"/>
      <c r="F40" s="20">
        <f>Q30+R30</f>
        <v>254307.5</v>
      </c>
      <c r="G40" s="16">
        <f t="shared" si="17"/>
        <v>0</v>
      </c>
      <c r="H40" s="16"/>
      <c r="I40" s="16"/>
      <c r="J40" s="23">
        <f>J38-J39</f>
        <v>2904.0129999993369</v>
      </c>
      <c r="K40" s="20" t="s">
        <v>28</v>
      </c>
      <c r="L40" s="12"/>
    </row>
    <row r="41" spans="1:14" x14ac:dyDescent="0.3">
      <c r="A41" s="21"/>
      <c r="B41"/>
      <c r="C41"/>
      <c r="D41"/>
      <c r="E41"/>
      <c r="F41" s="16"/>
      <c r="G41"/>
      <c r="H41"/>
      <c r="I41" s="16"/>
      <c r="J41" s="23">
        <f>J38-J39-J40</f>
        <v>0</v>
      </c>
      <c r="K41" s="16"/>
      <c r="L41" s="12"/>
    </row>
    <row r="42" spans="1:14" x14ac:dyDescent="0.3">
      <c r="A42" s="21"/>
      <c r="B42"/>
      <c r="C42"/>
      <c r="D42"/>
      <c r="E42"/>
      <c r="F42"/>
      <c r="G42"/>
      <c r="H42"/>
      <c r="I42" s="16"/>
      <c r="J42" s="16"/>
      <c r="K42" s="16"/>
      <c r="L42" s="12"/>
    </row>
    <row r="43" spans="1:14" x14ac:dyDescent="0.3">
      <c r="I43" s="12"/>
      <c r="J43" s="12"/>
      <c r="K43" s="12"/>
      <c r="L43" s="12"/>
    </row>
  </sheetData>
  <mergeCells count="1">
    <mergeCell ref="Q1:R1"/>
  </mergeCells>
  <pageMargins left="0.25" right="0.25" top="0.75" bottom="0.75" header="0.3" footer="0.3"/>
  <pageSetup paperSize="9" scale="4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workbookViewId="0">
      <selection activeCell="B11" sqref="B11"/>
    </sheetView>
  </sheetViews>
  <sheetFormatPr defaultRowHeight="14.4" x14ac:dyDescent="0.3"/>
  <cols>
    <col min="1" max="1" width="10.109375" style="9" bestFit="1" customWidth="1"/>
    <col min="2" max="2" width="11.5546875" style="3" bestFit="1" customWidth="1"/>
    <col min="3" max="4" width="11.5546875" style="3" customWidth="1"/>
    <col min="5" max="7" width="11.33203125" style="3" customWidth="1"/>
    <col min="8" max="13" width="0" style="3" hidden="1" customWidth="1"/>
    <col min="14" max="14" width="10.109375" style="3" bestFit="1" customWidth="1"/>
    <col min="15" max="15" width="11.6640625" style="3" bestFit="1" customWidth="1"/>
    <col min="16" max="16" width="10.109375" style="3" customWidth="1"/>
    <col min="17" max="17" width="12.88671875" style="3" customWidth="1"/>
    <col min="18" max="18" width="11.44140625" style="3" bestFit="1" customWidth="1"/>
    <col min="19" max="19" width="24.5546875" style="9" bestFit="1" customWidth="1"/>
    <col min="20" max="20" width="18.5546875" style="9" bestFit="1" customWidth="1"/>
    <col min="21" max="21" width="14" style="3" customWidth="1"/>
    <col min="22" max="22" width="8.88671875" style="3"/>
    <col min="23" max="23" width="8.88671875" style="3" customWidth="1"/>
    <col min="24" max="16384" width="8.88671875" style="3"/>
  </cols>
  <sheetData>
    <row r="1" spans="1:32" x14ac:dyDescent="0.3">
      <c r="A1" s="15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N1" s="2" t="s">
        <v>5</v>
      </c>
      <c r="O1" s="2" t="s">
        <v>6</v>
      </c>
      <c r="P1" s="2" t="s">
        <v>7</v>
      </c>
      <c r="Q1" s="26" t="s">
        <v>8</v>
      </c>
      <c r="R1" s="26"/>
      <c r="S1" s="15" t="s">
        <v>9</v>
      </c>
      <c r="T1" s="15" t="s">
        <v>10</v>
      </c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x14ac:dyDescent="0.3">
      <c r="A2" s="4"/>
      <c r="B2" s="5">
        <v>0.1</v>
      </c>
      <c r="C2" s="5"/>
      <c r="D2" s="5"/>
      <c r="E2" s="5">
        <v>0.1</v>
      </c>
      <c r="F2" s="5"/>
      <c r="G2" s="5"/>
      <c r="H2" s="5">
        <v>0.2</v>
      </c>
      <c r="I2" s="5"/>
      <c r="J2" s="5"/>
      <c r="K2" s="5">
        <v>0.2</v>
      </c>
      <c r="L2" s="5"/>
      <c r="M2" s="5"/>
      <c r="N2" s="15"/>
      <c r="O2" s="15"/>
      <c r="P2" s="15"/>
      <c r="Q2" s="15" t="s">
        <v>5</v>
      </c>
      <c r="R2" s="15" t="s">
        <v>11</v>
      </c>
      <c r="S2" s="6"/>
      <c r="T2" s="6"/>
    </row>
    <row r="3" spans="1:32" x14ac:dyDescent="0.3">
      <c r="A3" s="4">
        <v>46054</v>
      </c>
      <c r="B3" s="1">
        <f>139727.5+104741</f>
        <v>244468.5</v>
      </c>
      <c r="C3" s="7">
        <f>B3/1.1</f>
        <v>222244.09090909088</v>
      </c>
      <c r="D3" s="7">
        <f>C3*10/100</f>
        <v>22224.409090909088</v>
      </c>
      <c r="E3" s="1">
        <f>10250+4230</f>
        <v>14480</v>
      </c>
      <c r="F3" s="7">
        <f>E3/1.1</f>
        <v>13163.636363636362</v>
      </c>
      <c r="G3" s="7">
        <f>F3*10/100</f>
        <v>1316.3636363636363</v>
      </c>
      <c r="H3" s="7">
        <v>0</v>
      </c>
      <c r="I3" s="7">
        <f>H3/1.2</f>
        <v>0</v>
      </c>
      <c r="J3" s="7">
        <f>I3*20/100</f>
        <v>0</v>
      </c>
      <c r="K3" s="7">
        <v>0</v>
      </c>
      <c r="L3" s="7">
        <f>K3/1.2</f>
        <v>0</v>
      </c>
      <c r="M3" s="7">
        <f>L3*20/100</f>
        <v>0</v>
      </c>
      <c r="N3" s="1">
        <f>8132</f>
        <v>8132</v>
      </c>
      <c r="O3" s="1">
        <f>149977.5-3040-4240+100839-11200-2500</f>
        <v>229836.5</v>
      </c>
      <c r="P3" s="1">
        <f>3040+4240+11200+2500</f>
        <v>20980</v>
      </c>
      <c r="Q3" s="7">
        <v>0</v>
      </c>
      <c r="R3" s="7">
        <f>28800+14115</f>
        <v>42915</v>
      </c>
      <c r="S3" s="6"/>
      <c r="T3" s="6"/>
    </row>
    <row r="4" spans="1:32" x14ac:dyDescent="0.3">
      <c r="A4" s="4">
        <v>46056</v>
      </c>
      <c r="B4" s="1">
        <f>66120+5020</f>
        <v>71140</v>
      </c>
      <c r="C4" s="7">
        <f t="shared" ref="C4:C28" si="0">B4/1.1</f>
        <v>64672.727272727265</v>
      </c>
      <c r="D4" s="7">
        <f t="shared" ref="D4:D28" si="1">C4*10/100</f>
        <v>6467.272727272727</v>
      </c>
      <c r="E4" s="1">
        <f>4030+100</f>
        <v>4130</v>
      </c>
      <c r="F4" s="7">
        <f t="shared" ref="F4:F28" si="2">E4/1.1</f>
        <v>3754.545454545454</v>
      </c>
      <c r="G4" s="7">
        <f t="shared" ref="G4:G28" si="3">F4*10/100</f>
        <v>375.45454545454544</v>
      </c>
      <c r="H4" s="7">
        <v>0</v>
      </c>
      <c r="I4" s="7">
        <f t="shared" ref="I4:I28" si="4">H4/1.2</f>
        <v>0</v>
      </c>
      <c r="J4" s="7">
        <f t="shared" ref="J4:J28" si="5">I4*20/100</f>
        <v>0</v>
      </c>
      <c r="K4" s="7">
        <v>0</v>
      </c>
      <c r="L4" s="7">
        <f t="shared" ref="L4:L28" si="6">K4/1.2</f>
        <v>0</v>
      </c>
      <c r="M4" s="7">
        <f t="shared" ref="M4:M28" si="7">L4*20/100</f>
        <v>0</v>
      </c>
      <c r="N4" s="1">
        <f>2000</f>
        <v>2000</v>
      </c>
      <c r="O4" s="1">
        <f>70150-5000+3120</f>
        <v>68270</v>
      </c>
      <c r="P4" s="1">
        <v>5000</v>
      </c>
      <c r="Q4" s="7">
        <v>5500</v>
      </c>
      <c r="R4" s="7">
        <v>15360</v>
      </c>
      <c r="S4" s="6"/>
      <c r="T4" s="6"/>
    </row>
    <row r="5" spans="1:32" x14ac:dyDescent="0.3">
      <c r="A5" s="4">
        <v>46057</v>
      </c>
      <c r="B5" s="1">
        <f>48280+24855</f>
        <v>73135</v>
      </c>
      <c r="C5" s="7">
        <f t="shared" si="0"/>
        <v>66486.363636363632</v>
      </c>
      <c r="D5" s="7">
        <f t="shared" si="1"/>
        <v>6648.636363636364</v>
      </c>
      <c r="E5" s="1">
        <f>6275+3125</f>
        <v>9400</v>
      </c>
      <c r="F5" s="7">
        <f t="shared" si="2"/>
        <v>8545.4545454545441</v>
      </c>
      <c r="G5" s="7">
        <f t="shared" si="3"/>
        <v>854.54545454545439</v>
      </c>
      <c r="H5" s="7">
        <v>0</v>
      </c>
      <c r="I5" s="7">
        <f t="shared" si="4"/>
        <v>0</v>
      </c>
      <c r="J5" s="7">
        <f t="shared" si="5"/>
        <v>0</v>
      </c>
      <c r="K5" s="7">
        <v>0</v>
      </c>
      <c r="L5" s="7">
        <f t="shared" si="6"/>
        <v>0</v>
      </c>
      <c r="M5" s="7">
        <f t="shared" si="7"/>
        <v>0</v>
      </c>
      <c r="N5" s="1">
        <f>4550+4995</f>
        <v>9545</v>
      </c>
      <c r="O5" s="1">
        <f>50005-260+22985</f>
        <v>72730</v>
      </c>
      <c r="P5" s="1">
        <v>260</v>
      </c>
      <c r="Q5" s="7"/>
      <c r="R5" s="7">
        <f>7500+29950</f>
        <v>37450</v>
      </c>
      <c r="S5" s="6"/>
      <c r="T5" s="8"/>
    </row>
    <row r="6" spans="1:32" x14ac:dyDescent="0.3">
      <c r="A6" s="4">
        <v>46058</v>
      </c>
      <c r="B6" s="1">
        <f>52575+24515</f>
        <v>77090</v>
      </c>
      <c r="C6" s="7">
        <f t="shared" si="0"/>
        <v>70081.818181818177</v>
      </c>
      <c r="D6" s="7">
        <f t="shared" si="1"/>
        <v>7008.181818181818</v>
      </c>
      <c r="E6" s="1">
        <f>1520+1150</f>
        <v>2670</v>
      </c>
      <c r="F6" s="7">
        <f t="shared" si="2"/>
        <v>2427.272727272727</v>
      </c>
      <c r="G6" s="7">
        <f t="shared" si="3"/>
        <v>242.72727272727272</v>
      </c>
      <c r="H6" s="7">
        <v>0</v>
      </c>
      <c r="I6" s="7">
        <f t="shared" si="4"/>
        <v>0</v>
      </c>
      <c r="J6" s="7">
        <f t="shared" si="5"/>
        <v>0</v>
      </c>
      <c r="K6" s="7">
        <v>0</v>
      </c>
      <c r="L6" s="7">
        <f t="shared" si="6"/>
        <v>0</v>
      </c>
      <c r="M6" s="7">
        <f t="shared" si="7"/>
        <v>0</v>
      </c>
      <c r="N6" s="1">
        <f>6690</f>
        <v>6690</v>
      </c>
      <c r="O6" s="1">
        <f>47405-3060-5250+25665</f>
        <v>64760</v>
      </c>
      <c r="P6" s="1">
        <f>3060+5250</f>
        <v>8310</v>
      </c>
      <c r="Q6" s="7">
        <v>0</v>
      </c>
      <c r="R6" s="7">
        <v>8065</v>
      </c>
      <c r="S6" s="8"/>
      <c r="T6" s="6"/>
    </row>
    <row r="7" spans="1:32" x14ac:dyDescent="0.3">
      <c r="A7" s="4">
        <v>46059</v>
      </c>
      <c r="B7" s="1">
        <f>25850+62075</f>
        <v>87925</v>
      </c>
      <c r="C7" s="7">
        <f t="shared" si="0"/>
        <v>79931.818181818177</v>
      </c>
      <c r="D7" s="7">
        <f t="shared" si="1"/>
        <v>7993.181818181818</v>
      </c>
      <c r="E7" s="1">
        <f>1050+6160</f>
        <v>7210</v>
      </c>
      <c r="F7" s="7">
        <f t="shared" si="2"/>
        <v>6554.545454545454</v>
      </c>
      <c r="G7" s="7">
        <f t="shared" si="3"/>
        <v>655.4545454545455</v>
      </c>
      <c r="H7" s="7">
        <v>0</v>
      </c>
      <c r="I7" s="7">
        <f t="shared" si="4"/>
        <v>0</v>
      </c>
      <c r="J7" s="7">
        <f t="shared" si="5"/>
        <v>0</v>
      </c>
      <c r="K7" s="7">
        <v>0</v>
      </c>
      <c r="L7" s="7">
        <f t="shared" si="6"/>
        <v>0</v>
      </c>
      <c r="M7" s="7">
        <f t="shared" si="7"/>
        <v>0</v>
      </c>
      <c r="N7" s="1">
        <f>3195+5645</f>
        <v>8840</v>
      </c>
      <c r="O7" s="1">
        <f>23705+62590-4500-1250</f>
        <v>80545</v>
      </c>
      <c r="P7" s="1">
        <f>4500+1250</f>
        <v>5750</v>
      </c>
      <c r="Q7" s="7">
        <v>0</v>
      </c>
      <c r="R7" s="7">
        <v>0</v>
      </c>
      <c r="S7" s="8"/>
      <c r="T7" s="6"/>
    </row>
    <row r="8" spans="1:32" x14ac:dyDescent="0.3">
      <c r="A8" s="4">
        <v>46060</v>
      </c>
      <c r="B8" s="1">
        <f>145730+111572.5</f>
        <v>257302.5</v>
      </c>
      <c r="C8" s="7">
        <f t="shared" si="0"/>
        <v>233911.36363636362</v>
      </c>
      <c r="D8" s="7">
        <f t="shared" si="1"/>
        <v>23391.136363636364</v>
      </c>
      <c r="E8" s="1">
        <f>9060+7942.5</f>
        <v>17002.5</v>
      </c>
      <c r="F8" s="7">
        <f t="shared" si="2"/>
        <v>15456.81818181818</v>
      </c>
      <c r="G8" s="7">
        <f t="shared" si="3"/>
        <v>1545.681818181818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1">
        <f>2800+7410</f>
        <v>10210</v>
      </c>
      <c r="O8" s="1">
        <f>151990-4920-2635+112105-15040-3240</f>
        <v>238260</v>
      </c>
      <c r="P8" s="1">
        <f>4920+2635+15040+3240</f>
        <v>25835</v>
      </c>
      <c r="Q8" s="7">
        <v>0</v>
      </c>
      <c r="R8" s="7">
        <f>17170+23250</f>
        <v>40420</v>
      </c>
      <c r="S8" s="6"/>
      <c r="T8" s="6"/>
    </row>
    <row r="9" spans="1:32" x14ac:dyDescent="0.3">
      <c r="A9" s="4">
        <v>46061</v>
      </c>
      <c r="B9" s="1">
        <f>155410+118230</f>
        <v>273640</v>
      </c>
      <c r="C9" s="7">
        <f t="shared" si="0"/>
        <v>248763.63636363635</v>
      </c>
      <c r="D9" s="7">
        <f t="shared" si="1"/>
        <v>24876.363636363632</v>
      </c>
      <c r="E9" s="1">
        <f>8925+4580</f>
        <v>13505</v>
      </c>
      <c r="F9" s="7">
        <f t="shared" si="2"/>
        <v>12277.272727272726</v>
      </c>
      <c r="G9" s="7">
        <f t="shared" si="3"/>
        <v>1227.7272727272727</v>
      </c>
      <c r="H9" s="7">
        <v>0</v>
      </c>
      <c r="I9" s="7">
        <f t="shared" si="4"/>
        <v>0</v>
      </c>
      <c r="J9" s="7">
        <f t="shared" si="5"/>
        <v>0</v>
      </c>
      <c r="K9" s="7">
        <v>0</v>
      </c>
      <c r="L9" s="7">
        <f t="shared" si="6"/>
        <v>0</v>
      </c>
      <c r="M9" s="7">
        <f t="shared" si="7"/>
        <v>0</v>
      </c>
      <c r="N9" s="1">
        <f>4920+9825</f>
        <v>14745</v>
      </c>
      <c r="O9" s="1">
        <f>159415-21000-8415+112985-11070-2500</f>
        <v>229415</v>
      </c>
      <c r="P9" s="1">
        <f>21000+8415+11070+2500</f>
        <v>42985</v>
      </c>
      <c r="Q9" s="7">
        <v>0</v>
      </c>
      <c r="R9" s="7">
        <v>12500</v>
      </c>
      <c r="S9" s="6"/>
      <c r="T9" s="6"/>
    </row>
    <row r="10" spans="1:32" x14ac:dyDescent="0.3">
      <c r="A10" s="4">
        <v>46063</v>
      </c>
      <c r="B10" s="1">
        <f>28115+34840</f>
        <v>62955</v>
      </c>
      <c r="C10" s="7">
        <f t="shared" si="0"/>
        <v>57231.818181818177</v>
      </c>
      <c r="D10" s="7">
        <f t="shared" si="1"/>
        <v>5723.181818181818</v>
      </c>
      <c r="E10" s="1">
        <f>2985+3245</f>
        <v>6230</v>
      </c>
      <c r="F10" s="7">
        <f t="shared" si="2"/>
        <v>5663.6363636363631</v>
      </c>
      <c r="G10" s="7">
        <f t="shared" si="3"/>
        <v>566.36363636363637</v>
      </c>
      <c r="H10" s="7">
        <v>0</v>
      </c>
      <c r="I10" s="7">
        <f t="shared" si="4"/>
        <v>0</v>
      </c>
      <c r="J10" s="7">
        <f t="shared" si="5"/>
        <v>0</v>
      </c>
      <c r="K10" s="7">
        <v>0</v>
      </c>
      <c r="L10" s="7">
        <f t="shared" si="6"/>
        <v>0</v>
      </c>
      <c r="M10" s="7">
        <f t="shared" si="7"/>
        <v>0</v>
      </c>
      <c r="N10" s="1">
        <f>5930+4460</f>
        <v>10390</v>
      </c>
      <c r="O10" s="1">
        <f>25170+33625</f>
        <v>58795</v>
      </c>
      <c r="P10" s="7">
        <v>0</v>
      </c>
      <c r="Q10" s="7">
        <v>0</v>
      </c>
      <c r="R10" s="7">
        <f>11925+8400</f>
        <v>20325</v>
      </c>
      <c r="S10" s="6"/>
      <c r="T10" s="6"/>
    </row>
    <row r="11" spans="1:32" x14ac:dyDescent="0.3">
      <c r="A11" s="4">
        <v>46064</v>
      </c>
      <c r="B11" s="7"/>
      <c r="C11" s="7">
        <f t="shared" si="0"/>
        <v>0</v>
      </c>
      <c r="D11" s="7">
        <f t="shared" si="1"/>
        <v>0</v>
      </c>
      <c r="E11" s="7"/>
      <c r="F11" s="7">
        <f t="shared" si="2"/>
        <v>0</v>
      </c>
      <c r="G11" s="7">
        <f t="shared" si="3"/>
        <v>0</v>
      </c>
      <c r="H11" s="7">
        <v>0</v>
      </c>
      <c r="I11" s="7">
        <f t="shared" si="4"/>
        <v>0</v>
      </c>
      <c r="J11" s="7">
        <f t="shared" si="5"/>
        <v>0</v>
      </c>
      <c r="K11" s="7">
        <v>0</v>
      </c>
      <c r="L11" s="7">
        <f t="shared" si="6"/>
        <v>0</v>
      </c>
      <c r="M11" s="7">
        <f t="shared" si="7"/>
        <v>0</v>
      </c>
      <c r="N11" s="7"/>
      <c r="O11" s="7"/>
      <c r="P11" s="7"/>
      <c r="Q11" s="7"/>
      <c r="R11" s="7"/>
      <c r="S11" s="6"/>
      <c r="T11" s="6"/>
    </row>
    <row r="12" spans="1:32" x14ac:dyDescent="0.3">
      <c r="A12" s="4">
        <v>46065</v>
      </c>
      <c r="B12" s="7"/>
      <c r="C12" s="7">
        <f t="shared" si="0"/>
        <v>0</v>
      </c>
      <c r="D12" s="7">
        <f t="shared" si="1"/>
        <v>0</v>
      </c>
      <c r="E12" s="7"/>
      <c r="F12" s="7">
        <f t="shared" si="2"/>
        <v>0</v>
      </c>
      <c r="G12" s="7">
        <f t="shared" si="3"/>
        <v>0</v>
      </c>
      <c r="H12" s="7">
        <v>0</v>
      </c>
      <c r="I12" s="7">
        <f t="shared" si="4"/>
        <v>0</v>
      </c>
      <c r="J12" s="7">
        <f t="shared" si="5"/>
        <v>0</v>
      </c>
      <c r="K12" s="7">
        <v>0</v>
      </c>
      <c r="L12" s="7">
        <f t="shared" si="6"/>
        <v>0</v>
      </c>
      <c r="M12" s="7">
        <f t="shared" si="7"/>
        <v>0</v>
      </c>
      <c r="N12" s="7"/>
      <c r="O12" s="7"/>
      <c r="P12" s="7"/>
      <c r="Q12" s="7"/>
      <c r="R12" s="7"/>
      <c r="S12" s="6"/>
      <c r="T12" s="6"/>
    </row>
    <row r="13" spans="1:32" x14ac:dyDescent="0.3">
      <c r="A13" s="4">
        <v>46066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>
        <v>0</v>
      </c>
      <c r="I13" s="7">
        <f t="shared" si="4"/>
        <v>0</v>
      </c>
      <c r="J13" s="7">
        <f t="shared" si="5"/>
        <v>0</v>
      </c>
      <c r="K13" s="7">
        <v>0</v>
      </c>
      <c r="L13" s="7">
        <f t="shared" si="6"/>
        <v>0</v>
      </c>
      <c r="M13" s="7">
        <f t="shared" si="7"/>
        <v>0</v>
      </c>
      <c r="N13" s="7"/>
      <c r="O13" s="7"/>
      <c r="P13" s="7"/>
      <c r="Q13" s="7"/>
      <c r="R13" s="7"/>
      <c r="S13" s="6"/>
      <c r="T13" s="8"/>
    </row>
    <row r="14" spans="1:32" x14ac:dyDescent="0.3">
      <c r="A14" s="4">
        <v>46067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>
        <v>0</v>
      </c>
      <c r="I14" s="7">
        <f t="shared" si="4"/>
        <v>0</v>
      </c>
      <c r="J14" s="7">
        <f t="shared" si="5"/>
        <v>0</v>
      </c>
      <c r="K14" s="7">
        <v>0</v>
      </c>
      <c r="L14" s="7">
        <f t="shared" si="6"/>
        <v>0</v>
      </c>
      <c r="M14" s="7">
        <f t="shared" si="7"/>
        <v>0</v>
      </c>
      <c r="N14" s="7"/>
      <c r="O14" s="7"/>
      <c r="P14" s="7"/>
      <c r="Q14" s="7"/>
      <c r="R14" s="7"/>
      <c r="S14" s="6"/>
      <c r="T14" s="6"/>
    </row>
    <row r="15" spans="1:32" x14ac:dyDescent="0.3">
      <c r="A15" s="4">
        <v>46068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>
        <v>0</v>
      </c>
      <c r="I15" s="7">
        <f t="shared" si="4"/>
        <v>0</v>
      </c>
      <c r="J15" s="7">
        <f t="shared" si="5"/>
        <v>0</v>
      </c>
      <c r="K15" s="7">
        <v>0</v>
      </c>
      <c r="L15" s="7">
        <f t="shared" si="6"/>
        <v>0</v>
      </c>
      <c r="M15" s="7">
        <f t="shared" si="7"/>
        <v>0</v>
      </c>
      <c r="N15" s="7"/>
      <c r="O15" s="7"/>
      <c r="P15" s="7"/>
      <c r="Q15" s="7"/>
      <c r="R15" s="7"/>
      <c r="S15" s="6"/>
      <c r="T15" s="6"/>
    </row>
    <row r="16" spans="1:32" x14ac:dyDescent="0.3">
      <c r="A16" s="4">
        <v>46069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>
        <v>0</v>
      </c>
      <c r="I16" s="7">
        <f t="shared" si="4"/>
        <v>0</v>
      </c>
      <c r="J16" s="7">
        <f t="shared" si="5"/>
        <v>0</v>
      </c>
      <c r="K16" s="7">
        <v>0</v>
      </c>
      <c r="L16" s="7">
        <f t="shared" si="6"/>
        <v>0</v>
      </c>
      <c r="M16" s="7">
        <f t="shared" si="7"/>
        <v>0</v>
      </c>
      <c r="N16" s="7"/>
      <c r="O16" s="7"/>
      <c r="P16" s="7"/>
      <c r="Q16" s="7"/>
      <c r="R16" s="7"/>
      <c r="S16" s="6"/>
      <c r="T16" s="6"/>
    </row>
    <row r="17" spans="1:20" x14ac:dyDescent="0.3">
      <c r="A17" s="4">
        <v>46070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>
        <v>0</v>
      </c>
      <c r="I17" s="7">
        <f t="shared" si="4"/>
        <v>0</v>
      </c>
      <c r="J17" s="7">
        <f t="shared" si="5"/>
        <v>0</v>
      </c>
      <c r="K17" s="7">
        <v>0</v>
      </c>
      <c r="L17" s="7">
        <f t="shared" si="6"/>
        <v>0</v>
      </c>
      <c r="M17" s="7">
        <f t="shared" si="7"/>
        <v>0</v>
      </c>
      <c r="N17" s="7"/>
      <c r="O17" s="7"/>
      <c r="P17" s="7"/>
      <c r="Q17" s="7"/>
      <c r="R17" s="7"/>
      <c r="S17" s="6"/>
      <c r="T17" s="6"/>
    </row>
    <row r="18" spans="1:20" x14ac:dyDescent="0.3">
      <c r="A18" s="4">
        <v>46071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>
        <v>0</v>
      </c>
      <c r="I18" s="7">
        <f t="shared" si="4"/>
        <v>0</v>
      </c>
      <c r="J18" s="7">
        <f t="shared" si="5"/>
        <v>0</v>
      </c>
      <c r="K18" s="7">
        <v>0</v>
      </c>
      <c r="L18" s="7">
        <f t="shared" si="6"/>
        <v>0</v>
      </c>
      <c r="M18" s="7">
        <f t="shared" si="7"/>
        <v>0</v>
      </c>
      <c r="N18" s="7"/>
      <c r="O18" s="7"/>
      <c r="P18" s="7"/>
      <c r="Q18" s="7"/>
      <c r="R18" s="7"/>
      <c r="S18" s="6"/>
      <c r="T18" s="6"/>
    </row>
    <row r="19" spans="1:20" x14ac:dyDescent="0.3">
      <c r="A19" s="4">
        <v>46072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>
        <v>0</v>
      </c>
      <c r="I19" s="7">
        <f t="shared" si="4"/>
        <v>0</v>
      </c>
      <c r="J19" s="7">
        <f t="shared" si="5"/>
        <v>0</v>
      </c>
      <c r="K19" s="7">
        <v>0</v>
      </c>
      <c r="L19" s="7">
        <f t="shared" si="6"/>
        <v>0</v>
      </c>
      <c r="M19" s="7">
        <f t="shared" si="7"/>
        <v>0</v>
      </c>
      <c r="N19" s="7"/>
      <c r="O19" s="7"/>
      <c r="P19" s="7"/>
      <c r="Q19" s="7"/>
      <c r="R19" s="7"/>
      <c r="S19" s="6"/>
      <c r="T19" s="6"/>
    </row>
    <row r="20" spans="1:20" x14ac:dyDescent="0.3">
      <c r="A20" s="4">
        <v>46073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>
        <v>0</v>
      </c>
      <c r="I20" s="7">
        <f t="shared" si="4"/>
        <v>0</v>
      </c>
      <c r="J20" s="7">
        <f t="shared" si="5"/>
        <v>0</v>
      </c>
      <c r="K20" s="7">
        <v>0</v>
      </c>
      <c r="L20" s="7">
        <f t="shared" si="6"/>
        <v>0</v>
      </c>
      <c r="M20" s="7">
        <f t="shared" si="7"/>
        <v>0</v>
      </c>
      <c r="N20" s="7"/>
      <c r="O20" s="7"/>
      <c r="P20" s="7"/>
      <c r="Q20" s="7"/>
      <c r="R20" s="7"/>
      <c r="S20" s="6"/>
      <c r="T20" s="6"/>
    </row>
    <row r="21" spans="1:20" x14ac:dyDescent="0.3">
      <c r="A21" s="4">
        <v>46074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>
        <v>0</v>
      </c>
      <c r="I21" s="7">
        <f t="shared" si="4"/>
        <v>0</v>
      </c>
      <c r="J21" s="7">
        <f t="shared" si="5"/>
        <v>0</v>
      </c>
      <c r="K21" s="7">
        <v>0</v>
      </c>
      <c r="L21" s="7">
        <f t="shared" si="6"/>
        <v>0</v>
      </c>
      <c r="M21" s="7">
        <f t="shared" si="7"/>
        <v>0</v>
      </c>
      <c r="N21" s="7"/>
      <c r="O21" s="7"/>
      <c r="P21" s="7"/>
      <c r="Q21" s="7"/>
      <c r="R21" s="7"/>
      <c r="S21" s="6"/>
      <c r="T21" s="6"/>
    </row>
    <row r="22" spans="1:20" x14ac:dyDescent="0.3">
      <c r="A22" s="4">
        <v>46075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>
        <v>0</v>
      </c>
      <c r="I22" s="7">
        <f t="shared" si="4"/>
        <v>0</v>
      </c>
      <c r="J22" s="7">
        <f t="shared" si="5"/>
        <v>0</v>
      </c>
      <c r="K22" s="7">
        <v>0</v>
      </c>
      <c r="L22" s="7">
        <f t="shared" si="6"/>
        <v>0</v>
      </c>
      <c r="M22" s="7">
        <f t="shared" si="7"/>
        <v>0</v>
      </c>
      <c r="N22" s="7"/>
      <c r="O22" s="7"/>
      <c r="P22" s="7"/>
      <c r="Q22" s="7"/>
      <c r="R22" s="7"/>
      <c r="S22" s="6"/>
      <c r="T22" s="8"/>
    </row>
    <row r="23" spans="1:20" x14ac:dyDescent="0.3">
      <c r="A23" s="4">
        <v>46076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>
        <v>0</v>
      </c>
      <c r="I23" s="7">
        <f t="shared" si="4"/>
        <v>0</v>
      </c>
      <c r="J23" s="7">
        <f t="shared" si="5"/>
        <v>0</v>
      </c>
      <c r="K23" s="7">
        <v>0</v>
      </c>
      <c r="L23" s="7">
        <f t="shared" si="6"/>
        <v>0</v>
      </c>
      <c r="M23" s="7">
        <f t="shared" si="7"/>
        <v>0</v>
      </c>
      <c r="N23" s="7"/>
      <c r="O23" s="7"/>
      <c r="P23" s="7"/>
      <c r="Q23" s="7"/>
      <c r="R23" s="7"/>
      <c r="S23" s="6"/>
      <c r="T23" s="6"/>
    </row>
    <row r="24" spans="1:20" x14ac:dyDescent="0.3">
      <c r="A24" s="4">
        <v>46077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>
        <v>0</v>
      </c>
      <c r="I24" s="7">
        <f t="shared" si="4"/>
        <v>0</v>
      </c>
      <c r="J24" s="7">
        <f t="shared" si="5"/>
        <v>0</v>
      </c>
      <c r="K24" s="7">
        <v>0</v>
      </c>
      <c r="L24" s="7">
        <f t="shared" si="6"/>
        <v>0</v>
      </c>
      <c r="M24" s="7">
        <f t="shared" si="7"/>
        <v>0</v>
      </c>
      <c r="N24" s="7"/>
      <c r="O24" s="7"/>
      <c r="P24" s="7"/>
      <c r="Q24" s="7"/>
      <c r="R24" s="7"/>
      <c r="S24" s="6"/>
      <c r="T24" s="6"/>
    </row>
    <row r="25" spans="1:20" x14ac:dyDescent="0.3">
      <c r="A25" s="4">
        <v>46078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>
        <v>0</v>
      </c>
      <c r="I25" s="7">
        <f t="shared" si="4"/>
        <v>0</v>
      </c>
      <c r="J25" s="7">
        <f t="shared" si="5"/>
        <v>0</v>
      </c>
      <c r="K25" s="7">
        <v>0</v>
      </c>
      <c r="L25" s="7">
        <f t="shared" si="6"/>
        <v>0</v>
      </c>
      <c r="M25" s="7">
        <f t="shared" si="7"/>
        <v>0</v>
      </c>
      <c r="N25" s="7"/>
      <c r="O25" s="7"/>
      <c r="P25" s="7"/>
      <c r="Q25" s="7"/>
      <c r="R25" s="7"/>
      <c r="S25" s="6"/>
      <c r="T25" s="6"/>
    </row>
    <row r="26" spans="1:20" x14ac:dyDescent="0.3">
      <c r="A26" s="4">
        <v>46079</v>
      </c>
      <c r="B26" s="7"/>
      <c r="C26" s="7">
        <f t="shared" si="0"/>
        <v>0</v>
      </c>
      <c r="D26" s="7">
        <f t="shared" si="1"/>
        <v>0</v>
      </c>
      <c r="E26" s="7"/>
      <c r="F26" s="7">
        <f t="shared" si="2"/>
        <v>0</v>
      </c>
      <c r="G26" s="7">
        <f t="shared" si="3"/>
        <v>0</v>
      </c>
      <c r="H26" s="7">
        <v>0</v>
      </c>
      <c r="I26" s="7">
        <f t="shared" si="4"/>
        <v>0</v>
      </c>
      <c r="J26" s="7">
        <f t="shared" si="5"/>
        <v>0</v>
      </c>
      <c r="K26" s="7">
        <v>0</v>
      </c>
      <c r="L26" s="7">
        <f t="shared" si="6"/>
        <v>0</v>
      </c>
      <c r="M26" s="7">
        <f t="shared" si="7"/>
        <v>0</v>
      </c>
      <c r="N26" s="7"/>
      <c r="O26" s="7"/>
      <c r="P26" s="7"/>
      <c r="Q26" s="7"/>
      <c r="R26" s="7"/>
      <c r="S26" s="6"/>
      <c r="T26" s="6"/>
    </row>
    <row r="27" spans="1:20" x14ac:dyDescent="0.3">
      <c r="A27" s="4">
        <v>46080</v>
      </c>
      <c r="B27" s="7"/>
      <c r="C27" s="7">
        <f t="shared" si="0"/>
        <v>0</v>
      </c>
      <c r="D27" s="7">
        <f t="shared" si="1"/>
        <v>0</v>
      </c>
      <c r="E27" s="7"/>
      <c r="F27" s="7">
        <f t="shared" si="2"/>
        <v>0</v>
      </c>
      <c r="G27" s="7">
        <f t="shared" si="3"/>
        <v>0</v>
      </c>
      <c r="H27" s="7">
        <v>0</v>
      </c>
      <c r="I27" s="7">
        <f t="shared" si="4"/>
        <v>0</v>
      </c>
      <c r="J27" s="7">
        <f t="shared" si="5"/>
        <v>0</v>
      </c>
      <c r="K27" s="7">
        <v>0</v>
      </c>
      <c r="L27" s="7">
        <f t="shared" si="6"/>
        <v>0</v>
      </c>
      <c r="M27" s="7">
        <f t="shared" si="7"/>
        <v>0</v>
      </c>
      <c r="N27" s="7"/>
      <c r="O27" s="7"/>
      <c r="P27" s="7"/>
      <c r="Q27" s="7"/>
      <c r="R27" s="7"/>
      <c r="S27" s="6"/>
      <c r="T27" s="6"/>
    </row>
    <row r="28" spans="1:20" x14ac:dyDescent="0.3">
      <c r="A28" s="4">
        <v>46081</v>
      </c>
      <c r="B28" s="7"/>
      <c r="C28" s="7">
        <f t="shared" si="0"/>
        <v>0</v>
      </c>
      <c r="D28" s="7">
        <f t="shared" si="1"/>
        <v>0</v>
      </c>
      <c r="E28" s="7"/>
      <c r="F28" s="7">
        <f t="shared" si="2"/>
        <v>0</v>
      </c>
      <c r="G28" s="7">
        <f t="shared" si="3"/>
        <v>0</v>
      </c>
      <c r="H28" s="7">
        <v>0</v>
      </c>
      <c r="I28" s="7">
        <f t="shared" si="4"/>
        <v>0</v>
      </c>
      <c r="J28" s="7">
        <f t="shared" si="5"/>
        <v>0</v>
      </c>
      <c r="K28" s="7">
        <v>0</v>
      </c>
      <c r="L28" s="7">
        <f t="shared" si="6"/>
        <v>0</v>
      </c>
      <c r="M28" s="7">
        <f t="shared" si="7"/>
        <v>0</v>
      </c>
      <c r="N28" s="7"/>
      <c r="O28" s="7"/>
      <c r="P28" s="7"/>
      <c r="Q28" s="7"/>
      <c r="R28" s="7"/>
      <c r="S28" s="6"/>
      <c r="T28" s="6"/>
    </row>
    <row r="29" spans="1:20" ht="15.6" x14ac:dyDescent="0.3">
      <c r="B29" s="10">
        <f>SUM(B3:B28)</f>
        <v>1147656</v>
      </c>
      <c r="C29" s="10"/>
      <c r="D29" s="10"/>
      <c r="E29" s="10">
        <f>SUM(E3:E28)</f>
        <v>74627.5</v>
      </c>
      <c r="F29" s="10"/>
      <c r="G29" s="10"/>
      <c r="H29" s="10">
        <f>SUM(H3:H28)</f>
        <v>0</v>
      </c>
      <c r="I29" s="10"/>
      <c r="J29" s="10"/>
      <c r="K29" s="10">
        <f>SUM(K3:K28)</f>
        <v>0</v>
      </c>
      <c r="L29" s="10"/>
      <c r="M29" s="10"/>
      <c r="N29" s="10">
        <f>SUM(N3:N28)</f>
        <v>70552</v>
      </c>
      <c r="O29" s="10">
        <f>SUM(O3:O28)</f>
        <v>1042611.5</v>
      </c>
      <c r="P29" s="10">
        <f>SUM(P3:P28)</f>
        <v>109120</v>
      </c>
      <c r="Q29" s="10">
        <f>SUM(Q3:Q28)</f>
        <v>5500</v>
      </c>
      <c r="R29" s="10">
        <f>SUM(R3:R28)</f>
        <v>177035</v>
      </c>
      <c r="S29" s="11"/>
    </row>
    <row r="31" spans="1:20" x14ac:dyDescent="0.3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3" spans="2:14" x14ac:dyDescent="0.3">
      <c r="B33" s="12"/>
      <c r="E33" s="12"/>
      <c r="H33" s="12"/>
      <c r="K33" s="12"/>
      <c r="N33" s="12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2026-02-11T12:20:55Z</dcterms:modified>
  <cp:category/>
  <cp:contentStatus/>
</cp:coreProperties>
</file>